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michiganstate.sharepoint.com/sites/CANR/MSUEBO/Documents/Grant &amp; Contract Services/Proposals/Templates &amp; Frequently Requested Info/Budget and Narrative Templates/"/>
    </mc:Choice>
  </mc:AlternateContent>
  <xr:revisionPtr revIDLastSave="3" documentId="13_ncr:1_{BD021B17-C134-4415-A9E1-A7A6484C2A98}" xr6:coauthVersionLast="45" xr6:coauthVersionMax="46" xr10:uidLastSave="{5237CFAE-5813-49A7-A423-96911FFE8BE9}"/>
  <bookViews>
    <workbookView xWindow="30600" yWindow="1920" windowWidth="27000" windowHeight="14160" activeTab="4" xr2:uid="{00000000-000D-0000-FFFF-FFFF00000000}"/>
  </bookViews>
  <sheets>
    <sheet name="MSUE Budget " sheetId="3" r:id="rId1"/>
    <sheet name="Subaward F&amp;A Calculator" sheetId="2" r:id="rId2"/>
    <sheet name="MSUE Subaward F&amp;A Calculator" sheetId="11" r:id="rId3"/>
    <sheet name="Materials_Supplies" sheetId="5" r:id="rId4"/>
    <sheet name="Travel" sheetId="6" r:id="rId5"/>
    <sheet name="F&amp;A Calculator Instructions" sheetId="7" r:id="rId6"/>
    <sheet name="Fringe Calcuations" sheetId="8" r:id="rId7"/>
    <sheet name="Grad Assistant Fringe Chart" sheetId="4" r:id="rId8"/>
  </sheets>
  <externalReferences>
    <externalReference r:id="rId9"/>
  </externalReferences>
  <definedNames>
    <definedName name="_xlnm.Print_Area" localSheetId="5">'F&amp;A Calculator Instructions'!$A$1:$M$41</definedName>
    <definedName name="_xlnm.Print_Area" localSheetId="1">'Subaward F&amp;A Calculator'!$A$1:$G$80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3" l="1"/>
  <c r="J4" i="6"/>
  <c r="B31" i="3" l="1"/>
  <c r="B30" i="3"/>
  <c r="B29" i="3"/>
  <c r="B28" i="3"/>
  <c r="B27" i="3"/>
  <c r="B26" i="3"/>
  <c r="B25" i="3"/>
  <c r="B24" i="3"/>
  <c r="F25" i="3" l="1"/>
  <c r="F26" i="3"/>
  <c r="F27" i="3"/>
  <c r="F29" i="3"/>
  <c r="F24" i="3"/>
  <c r="E71" i="11" l="1"/>
  <c r="E70" i="11" s="1"/>
  <c r="L70" i="11"/>
  <c r="D68" i="11"/>
  <c r="E67" i="11"/>
  <c r="F67" i="11" s="1"/>
  <c r="L66" i="11"/>
  <c r="D64" i="11"/>
  <c r="E63" i="11"/>
  <c r="E62" i="11" s="1"/>
  <c r="L62" i="11"/>
  <c r="D60" i="11"/>
  <c r="E59" i="11"/>
  <c r="F59" i="11" s="1"/>
  <c r="L58" i="11"/>
  <c r="D56" i="11"/>
  <c r="E55" i="11"/>
  <c r="F55" i="11" s="1"/>
  <c r="L54" i="11"/>
  <c r="D52" i="11"/>
  <c r="E51" i="11"/>
  <c r="E50" i="11" s="1"/>
  <c r="L50" i="11"/>
  <c r="D48" i="11"/>
  <c r="E47" i="11"/>
  <c r="E46" i="11" s="1"/>
  <c r="L46" i="11"/>
  <c r="H46" i="11"/>
  <c r="H45" i="11"/>
  <c r="H44" i="11"/>
  <c r="D44" i="11"/>
  <c r="H43" i="11"/>
  <c r="E43" i="11"/>
  <c r="F43" i="11" s="1"/>
  <c r="L42" i="11"/>
  <c r="D40" i="11"/>
  <c r="H39" i="11"/>
  <c r="E39" i="11"/>
  <c r="E38" i="11" s="1"/>
  <c r="L38" i="11"/>
  <c r="H38" i="11"/>
  <c r="D36" i="11"/>
  <c r="E35" i="11"/>
  <c r="E34" i="11" s="1"/>
  <c r="L34" i="11"/>
  <c r="D32" i="11"/>
  <c r="E31" i="11"/>
  <c r="F31" i="11" s="1"/>
  <c r="L30" i="11"/>
  <c r="I29" i="11"/>
  <c r="C15" i="11" s="1"/>
  <c r="D28" i="11"/>
  <c r="E27" i="11"/>
  <c r="E26" i="11" s="1"/>
  <c r="L26" i="11"/>
  <c r="D24" i="11"/>
  <c r="E23" i="11"/>
  <c r="F23" i="11" s="1"/>
  <c r="L22" i="11"/>
  <c r="D20" i="11"/>
  <c r="E19" i="11"/>
  <c r="E18" i="11" s="1"/>
  <c r="L18" i="11"/>
  <c r="C16" i="11"/>
  <c r="H14" i="11"/>
  <c r="C14" i="11"/>
  <c r="H13" i="11"/>
  <c r="C13" i="11"/>
  <c r="F9" i="11"/>
  <c r="I7" i="3"/>
  <c r="I24" i="3" s="1"/>
  <c r="I8" i="3"/>
  <c r="I9" i="3"/>
  <c r="I10" i="3"/>
  <c r="I11" i="3"/>
  <c r="I12" i="3"/>
  <c r="I16" i="3"/>
  <c r="J16" i="3" s="1"/>
  <c r="I17" i="3"/>
  <c r="A22" i="8"/>
  <c r="F19" i="8"/>
  <c r="E19" i="8"/>
  <c r="A19" i="8"/>
  <c r="F18" i="8"/>
  <c r="E18" i="8"/>
  <c r="A18" i="8"/>
  <c r="F17" i="8"/>
  <c r="E17" i="8"/>
  <c r="A17" i="8"/>
  <c r="F16" i="8"/>
  <c r="E16" i="8"/>
  <c r="A16" i="8"/>
  <c r="F15" i="8"/>
  <c r="E15" i="8"/>
  <c r="A15" i="8"/>
  <c r="F14" i="8"/>
  <c r="E14" i="8"/>
  <c r="A14" i="8"/>
  <c r="F13" i="8"/>
  <c r="E13" i="8"/>
  <c r="A13" i="8"/>
  <c r="F12" i="8"/>
  <c r="E12" i="8"/>
  <c r="B12" i="8"/>
  <c r="B13" i="8" s="1"/>
  <c r="A12" i="8"/>
  <c r="H11" i="8"/>
  <c r="G11" i="8"/>
  <c r="E11" i="8"/>
  <c r="A11" i="8"/>
  <c r="A2" i="8"/>
  <c r="G12" i="8" l="1"/>
  <c r="G13" i="8" s="1"/>
  <c r="G14" i="8" s="1"/>
  <c r="G15" i="8" s="1"/>
  <c r="G16" i="8" s="1"/>
  <c r="G17" i="8" s="1"/>
  <c r="G18" i="8" s="1"/>
  <c r="G19" i="8" s="1"/>
  <c r="H12" i="8"/>
  <c r="H13" i="8" s="1"/>
  <c r="H14" i="8" s="1"/>
  <c r="H15" i="8" s="1"/>
  <c r="H16" i="8" s="1"/>
  <c r="H17" i="8" s="1"/>
  <c r="H18" i="8" s="1"/>
  <c r="H19" i="8" s="1"/>
  <c r="H47" i="11"/>
  <c r="H40" i="11"/>
  <c r="E3" i="11" s="1"/>
  <c r="H34" i="11"/>
  <c r="E30" i="11"/>
  <c r="C11" i="8"/>
  <c r="D11" i="8" s="1"/>
  <c r="E42" i="11"/>
  <c r="F19" i="11"/>
  <c r="F63" i="11"/>
  <c r="E58" i="11"/>
  <c r="D5" i="11"/>
  <c r="H7" i="11" s="1"/>
  <c r="H20" i="11" s="1"/>
  <c r="F39" i="11"/>
  <c r="F47" i="11"/>
  <c r="F51" i="11"/>
  <c r="E2" i="11"/>
  <c r="E66" i="11"/>
  <c r="F71" i="11"/>
  <c r="F27" i="11"/>
  <c r="F35" i="11"/>
  <c r="E54" i="11"/>
  <c r="E22" i="11"/>
  <c r="C12" i="8"/>
  <c r="D12" i="8" s="1"/>
  <c r="B14" i="8"/>
  <c r="N44" i="3"/>
  <c r="N45" i="3"/>
  <c r="N46" i="3"/>
  <c r="N47" i="3"/>
  <c r="N48" i="3"/>
  <c r="N49" i="3"/>
  <c r="C13" i="8" l="1"/>
  <c r="D13" i="8" s="1"/>
  <c r="H16" i="11"/>
  <c r="H19" i="11" s="1"/>
  <c r="H21" i="11" s="1"/>
  <c r="H15" i="11"/>
  <c r="H24" i="11" s="1"/>
  <c r="C14" i="8"/>
  <c r="D14" i="8" s="1"/>
  <c r="B15" i="8"/>
  <c r="D35" i="7"/>
  <c r="I19" i="3"/>
  <c r="I20" i="3"/>
  <c r="I25" i="3"/>
  <c r="I26" i="3"/>
  <c r="I27" i="3"/>
  <c r="I28" i="3"/>
  <c r="I29" i="3"/>
  <c r="H13" i="2"/>
  <c r="H23" i="11" l="1"/>
  <c r="H29" i="11" s="1"/>
  <c r="D15" i="11" s="1"/>
  <c r="E15" i="11" s="1"/>
  <c r="H25" i="11"/>
  <c r="H26" i="11" s="1"/>
  <c r="D13" i="11" s="1"/>
  <c r="E13" i="11" s="1"/>
  <c r="H22" i="11"/>
  <c r="I24" i="11" s="1"/>
  <c r="C15" i="8"/>
  <c r="D15" i="8" s="1"/>
  <c r="B16" i="8"/>
  <c r="F9" i="2"/>
  <c r="H28" i="11" l="1"/>
  <c r="C16" i="8"/>
  <c r="D16" i="8" s="1"/>
  <c r="B17" i="8"/>
  <c r="D76" i="2"/>
  <c r="E75" i="2"/>
  <c r="F75" i="2" s="1"/>
  <c r="L74" i="2"/>
  <c r="E74" i="2"/>
  <c r="D72" i="2"/>
  <c r="E71" i="2"/>
  <c r="E70" i="2" s="1"/>
  <c r="L70" i="2"/>
  <c r="D68" i="2"/>
  <c r="E67" i="2"/>
  <c r="F67" i="2" s="1"/>
  <c r="L66" i="2"/>
  <c r="D64" i="2"/>
  <c r="E63" i="2"/>
  <c r="E62" i="2" s="1"/>
  <c r="L62" i="2"/>
  <c r="D60" i="2"/>
  <c r="E59" i="2"/>
  <c r="F59" i="2" s="1"/>
  <c r="L58" i="2"/>
  <c r="D56" i="2"/>
  <c r="E55" i="2"/>
  <c r="F55" i="2" s="1"/>
  <c r="L54" i="2"/>
  <c r="D52" i="2"/>
  <c r="E51" i="2"/>
  <c r="E50" i="2" s="1"/>
  <c r="L50" i="2"/>
  <c r="D48" i="2"/>
  <c r="E47" i="2"/>
  <c r="F47" i="2" s="1"/>
  <c r="L46" i="2"/>
  <c r="H44" i="2"/>
  <c r="D44" i="2"/>
  <c r="H43" i="2"/>
  <c r="E43" i="2"/>
  <c r="F43" i="2" s="1"/>
  <c r="L42" i="2"/>
  <c r="D40" i="2"/>
  <c r="H39" i="2"/>
  <c r="D79" i="2" s="1"/>
  <c r="E39" i="2"/>
  <c r="E38" i="2" s="1"/>
  <c r="L38" i="2"/>
  <c r="H38" i="2"/>
  <c r="D36" i="2"/>
  <c r="E35" i="2"/>
  <c r="E34" i="2" s="1"/>
  <c r="L34" i="2"/>
  <c r="D32" i="2"/>
  <c r="E31" i="2"/>
  <c r="F31" i="2" s="1"/>
  <c r="L30" i="2"/>
  <c r="I29" i="2"/>
  <c r="C15" i="2" s="1"/>
  <c r="D28" i="2"/>
  <c r="E27" i="2"/>
  <c r="F27" i="2" s="1"/>
  <c r="L26" i="2"/>
  <c r="D24" i="2"/>
  <c r="E23" i="2"/>
  <c r="E22" i="2" s="1"/>
  <c r="L22" i="2"/>
  <c r="D20" i="2"/>
  <c r="E19" i="2"/>
  <c r="F19" i="2" s="1"/>
  <c r="L18" i="2"/>
  <c r="C16" i="2"/>
  <c r="H14" i="2"/>
  <c r="C14" i="2"/>
  <c r="C13" i="2"/>
  <c r="I41" i="6"/>
  <c r="M36" i="3" s="1"/>
  <c r="H41" i="6"/>
  <c r="L36" i="3" s="1"/>
  <c r="G41" i="6"/>
  <c r="K36" i="3" s="1"/>
  <c r="F41" i="6"/>
  <c r="J36" i="3" s="1"/>
  <c r="E41" i="6"/>
  <c r="I36" i="3" s="1"/>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3" i="6"/>
  <c r="G43" i="5"/>
  <c r="M37" i="3" s="1"/>
  <c r="F43" i="5"/>
  <c r="L37" i="3" s="1"/>
  <c r="E43" i="5"/>
  <c r="K37" i="3" s="1"/>
  <c r="D43" i="5"/>
  <c r="J37" i="3" s="1"/>
  <c r="C43" i="5"/>
  <c r="I37" i="3" s="1"/>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Y69" i="3"/>
  <c r="X69" i="3"/>
  <c r="Y75" i="3"/>
  <c r="X75" i="3"/>
  <c r="Y74" i="3"/>
  <c r="X74" i="3"/>
  <c r="Y73" i="3"/>
  <c r="X73" i="3"/>
  <c r="Y72" i="3"/>
  <c r="X72" i="3"/>
  <c r="Y71" i="3"/>
  <c r="X71" i="3"/>
  <c r="T59" i="3"/>
  <c r="N59" i="3"/>
  <c r="T58" i="3"/>
  <c r="N58" i="3"/>
  <c r="T57" i="3"/>
  <c r="N57" i="3"/>
  <c r="T56" i="3"/>
  <c r="N56" i="3"/>
  <c r="T55" i="3"/>
  <c r="N55" i="3"/>
  <c r="Q54" i="3"/>
  <c r="T54" i="3" s="1"/>
  <c r="N54" i="3"/>
  <c r="N53" i="3"/>
  <c r="T52" i="3"/>
  <c r="N52" i="3"/>
  <c r="M51" i="3"/>
  <c r="L51" i="3"/>
  <c r="K51" i="3"/>
  <c r="J51" i="3"/>
  <c r="I51" i="3"/>
  <c r="N50" i="3"/>
  <c r="N43" i="3"/>
  <c r="T42" i="3"/>
  <c r="N42" i="3"/>
  <c r="T41" i="3"/>
  <c r="N41" i="3"/>
  <c r="T40" i="3"/>
  <c r="N40" i="3"/>
  <c r="T39" i="3"/>
  <c r="N39" i="3"/>
  <c r="T38" i="3"/>
  <c r="N38" i="3"/>
  <c r="T37" i="3"/>
  <c r="T36" i="3"/>
  <c r="T35" i="3"/>
  <c r="N35" i="3"/>
  <c r="I21" i="3"/>
  <c r="O20" i="3"/>
  <c r="J20" i="3"/>
  <c r="O19" i="3"/>
  <c r="P19" i="3" s="1"/>
  <c r="J19" i="3"/>
  <c r="O17" i="3"/>
  <c r="O31" i="3" s="1"/>
  <c r="J17" i="3"/>
  <c r="O16" i="3"/>
  <c r="I13" i="3"/>
  <c r="O12" i="3"/>
  <c r="P12" i="3" s="1"/>
  <c r="Q12" i="3" s="1"/>
  <c r="R12" i="3" s="1"/>
  <c r="S12" i="3" s="1"/>
  <c r="J12" i="3"/>
  <c r="J29" i="3" s="1"/>
  <c r="O11" i="3"/>
  <c r="P11" i="3" s="1"/>
  <c r="J11" i="3"/>
  <c r="J28" i="3" s="1"/>
  <c r="O10" i="3"/>
  <c r="O27" i="3" s="1"/>
  <c r="J10" i="3"/>
  <c r="J27" i="3" s="1"/>
  <c r="O29" i="3"/>
  <c r="O9" i="3"/>
  <c r="P9" i="3" s="1"/>
  <c r="Q9" i="3" s="1"/>
  <c r="R9" i="3" s="1"/>
  <c r="S9" i="3" s="1"/>
  <c r="J9" i="3"/>
  <c r="J26" i="3" s="1"/>
  <c r="O8" i="3"/>
  <c r="O25" i="3" s="1"/>
  <c r="J8" i="3"/>
  <c r="J25" i="3" s="1"/>
  <c r="O7" i="3"/>
  <c r="J7" i="3"/>
  <c r="J24" i="3" s="1"/>
  <c r="F63" i="2" l="1"/>
  <c r="J41" i="6"/>
  <c r="F51" i="2"/>
  <c r="E30" i="2"/>
  <c r="F39" i="2"/>
  <c r="E46" i="2"/>
  <c r="E58" i="2"/>
  <c r="F35" i="2"/>
  <c r="H43" i="5"/>
  <c r="D14" i="11"/>
  <c r="H30" i="11"/>
  <c r="D16" i="11" s="1"/>
  <c r="C17" i="8"/>
  <c r="D17" i="8" s="1"/>
  <c r="B18" i="8"/>
  <c r="Z73" i="3"/>
  <c r="AA73" i="3" s="1"/>
  <c r="AB73" i="3" s="1"/>
  <c r="Z72" i="3"/>
  <c r="AA72" i="3" s="1"/>
  <c r="AB72" i="3" s="1"/>
  <c r="Z75" i="3"/>
  <c r="AA75" i="3" s="1"/>
  <c r="AB75" i="3" s="1"/>
  <c r="Z71" i="3"/>
  <c r="AA71" i="3" s="1"/>
  <c r="AB71" i="3" s="1"/>
  <c r="Z74" i="3"/>
  <c r="AA74" i="3" s="1"/>
  <c r="AB74" i="3" s="1"/>
  <c r="P20" i="3"/>
  <c r="N51" i="3"/>
  <c r="Z69" i="3"/>
  <c r="AA69" i="3" s="1"/>
  <c r="P17" i="3"/>
  <c r="P31" i="3" s="1"/>
  <c r="P10" i="3"/>
  <c r="P29" i="3"/>
  <c r="T9" i="3"/>
  <c r="Q11" i="3"/>
  <c r="P28" i="3"/>
  <c r="K17" i="3"/>
  <c r="O30" i="3"/>
  <c r="K7" i="3"/>
  <c r="K24" i="3" s="1"/>
  <c r="P8" i="3"/>
  <c r="T12" i="3"/>
  <c r="K16" i="3"/>
  <c r="Q19" i="3"/>
  <c r="E42" i="2"/>
  <c r="E66" i="2"/>
  <c r="F71" i="2"/>
  <c r="E26" i="2"/>
  <c r="E54" i="2"/>
  <c r="O24" i="3"/>
  <c r="P7" i="3"/>
  <c r="P16" i="3"/>
  <c r="O28" i="3"/>
  <c r="K10" i="3"/>
  <c r="K27" i="3" s="1"/>
  <c r="K20" i="3"/>
  <c r="K12" i="3"/>
  <c r="K29" i="3" s="1"/>
  <c r="O26" i="3"/>
  <c r="K19" i="3"/>
  <c r="O13" i="3"/>
  <c r="O21" i="3" s="1"/>
  <c r="K8" i="3"/>
  <c r="K25" i="3" s="1"/>
  <c r="J21" i="3"/>
  <c r="K9" i="3"/>
  <c r="K26" i="3" s="1"/>
  <c r="K11" i="3"/>
  <c r="K28" i="3" s="1"/>
  <c r="I32" i="3"/>
  <c r="I33" i="3" s="1"/>
  <c r="I60" i="3" s="1"/>
  <c r="I63" i="3" s="1"/>
  <c r="J13" i="3"/>
  <c r="L78" i="2"/>
  <c r="H46" i="2" s="1"/>
  <c r="H40" i="2"/>
  <c r="E2" i="2" s="1"/>
  <c r="N37" i="3"/>
  <c r="E18" i="2"/>
  <c r="H34" i="2"/>
  <c r="F23" i="2"/>
  <c r="D78" i="2"/>
  <c r="D80" i="2" s="1"/>
  <c r="N36" i="3"/>
  <c r="E10" i="11" l="1"/>
  <c r="E16" i="11"/>
  <c r="H10" i="11"/>
  <c r="L13" i="11" s="1"/>
  <c r="D9" i="11"/>
  <c r="F10" i="11" s="1"/>
  <c r="E14" i="11"/>
  <c r="H33" i="11"/>
  <c r="C18" i="8"/>
  <c r="D18" i="8" s="1"/>
  <c r="B19" i="8"/>
  <c r="C19" i="8" s="1"/>
  <c r="D19" i="8" s="1"/>
  <c r="L20" i="3"/>
  <c r="L16" i="3"/>
  <c r="Q17" i="3"/>
  <c r="Q31" i="3" s="1"/>
  <c r="T31" i="3" s="1"/>
  <c r="Q20" i="3"/>
  <c r="L19" i="3"/>
  <c r="P27" i="3"/>
  <c r="Q10" i="3"/>
  <c r="L10" i="3"/>
  <c r="L27" i="3" s="1"/>
  <c r="L7" i="3"/>
  <c r="L24" i="3" s="1"/>
  <c r="K21" i="3"/>
  <c r="L8" i="3"/>
  <c r="L25" i="3" s="1"/>
  <c r="Q16" i="3"/>
  <c r="P30" i="3"/>
  <c r="R11" i="3"/>
  <c r="Q28" i="3"/>
  <c r="T28" i="3" s="1"/>
  <c r="K13" i="3"/>
  <c r="Q7" i="3"/>
  <c r="P13" i="3"/>
  <c r="P24" i="3"/>
  <c r="R19" i="3"/>
  <c r="O32" i="3"/>
  <c r="O33" i="3" s="1"/>
  <c r="L12" i="3"/>
  <c r="L29" i="3" s="1"/>
  <c r="L17" i="3"/>
  <c r="P25" i="3"/>
  <c r="Q8" i="3"/>
  <c r="P26" i="3"/>
  <c r="N31" i="3"/>
  <c r="L11" i="3"/>
  <c r="L28" i="3" s="1"/>
  <c r="J32" i="3"/>
  <c r="J33" i="3" s="1"/>
  <c r="J60" i="3" s="1"/>
  <c r="J63" i="3" s="1"/>
  <c r="L9" i="3"/>
  <c r="L26" i="3" s="1"/>
  <c r="I62" i="3"/>
  <c r="I67" i="3" s="1"/>
  <c r="E3" i="2"/>
  <c r="H45" i="2"/>
  <c r="H47" i="2" s="1"/>
  <c r="D5" i="2"/>
  <c r="H7" i="2" s="1"/>
  <c r="I64" i="3"/>
  <c r="C9" i="11" l="1"/>
  <c r="H48" i="11"/>
  <c r="H49" i="11" s="1"/>
  <c r="M7" i="3"/>
  <c r="M10" i="3"/>
  <c r="M20" i="3"/>
  <c r="M19" i="3"/>
  <c r="N19" i="3" s="1"/>
  <c r="R17" i="3"/>
  <c r="R31" i="3" s="1"/>
  <c r="M16" i="3"/>
  <c r="Q29" i="3"/>
  <c r="T29" i="3" s="1"/>
  <c r="R20" i="3"/>
  <c r="M12" i="3"/>
  <c r="Q27" i="3"/>
  <c r="T27" i="3" s="1"/>
  <c r="R10" i="3"/>
  <c r="R29" i="3"/>
  <c r="M8" i="3"/>
  <c r="O60" i="3"/>
  <c r="P21" i="3"/>
  <c r="R8" i="3"/>
  <c r="Q26" i="3"/>
  <c r="T26" i="3" s="1"/>
  <c r="Q25" i="3"/>
  <c r="T25" i="3" s="1"/>
  <c r="R16" i="3"/>
  <c r="Q30" i="3"/>
  <c r="T30" i="3" s="1"/>
  <c r="L21" i="3"/>
  <c r="Q24" i="3"/>
  <c r="Q13" i="3"/>
  <c r="Q21" i="3" s="1"/>
  <c r="R7" i="3"/>
  <c r="S19" i="3"/>
  <c r="M17" i="3"/>
  <c r="P32" i="3"/>
  <c r="R28" i="3"/>
  <c r="S11" i="3"/>
  <c r="K32" i="3"/>
  <c r="K33" i="3" s="1"/>
  <c r="K60" i="3" s="1"/>
  <c r="M9" i="3"/>
  <c r="M26" i="3" s="1"/>
  <c r="M11" i="3"/>
  <c r="M28" i="3" s="1"/>
  <c r="L13" i="3"/>
  <c r="L32" i="3" s="1"/>
  <c r="J62" i="3"/>
  <c r="H16" i="2"/>
  <c r="H19" i="2" s="1"/>
  <c r="H20" i="2"/>
  <c r="H15" i="2"/>
  <c r="H24" i="2" s="1"/>
  <c r="I68" i="3"/>
  <c r="I69" i="3" s="1"/>
  <c r="I65" i="3"/>
  <c r="M27" i="3" l="1"/>
  <c r="N27" i="3" s="1"/>
  <c r="M25" i="3"/>
  <c r="N25" i="3" s="1"/>
  <c r="N29" i="3"/>
  <c r="M29" i="3"/>
  <c r="N7" i="3"/>
  <c r="M24" i="3"/>
  <c r="N24" i="3" s="1"/>
  <c r="K63" i="3"/>
  <c r="K64" i="3" s="1"/>
  <c r="N10" i="3"/>
  <c r="N20" i="3"/>
  <c r="S17" i="3"/>
  <c r="S31" i="3" s="1"/>
  <c r="N16" i="3"/>
  <c r="N8" i="3"/>
  <c r="S20" i="3"/>
  <c r="N12" i="3"/>
  <c r="R27" i="3"/>
  <c r="S10" i="3"/>
  <c r="R30" i="3"/>
  <c r="S16" i="3"/>
  <c r="S30" i="3" s="1"/>
  <c r="S28" i="3"/>
  <c r="T11" i="3"/>
  <c r="P33" i="3"/>
  <c r="R26" i="3"/>
  <c r="S8" i="3"/>
  <c r="R25" i="3"/>
  <c r="Q32" i="3"/>
  <c r="Q33" i="3" s="1"/>
  <c r="Q60" i="3" s="1"/>
  <c r="T24" i="3"/>
  <c r="T32" i="3" s="1"/>
  <c r="M13" i="3"/>
  <c r="N30" i="3" s="1"/>
  <c r="N17" i="3"/>
  <c r="T19" i="3"/>
  <c r="R13" i="3"/>
  <c r="R21" i="3" s="1"/>
  <c r="S7" i="3"/>
  <c r="R24" i="3"/>
  <c r="K62" i="3"/>
  <c r="K67" i="3" s="1"/>
  <c r="K68" i="3" s="1"/>
  <c r="K69" i="3" s="1"/>
  <c r="M21" i="3"/>
  <c r="N21" i="3" s="1"/>
  <c r="N28" i="3"/>
  <c r="N11" i="3"/>
  <c r="N26" i="3"/>
  <c r="N9" i="3"/>
  <c r="L33" i="3"/>
  <c r="L60" i="3" s="1"/>
  <c r="L63" i="3" s="1"/>
  <c r="J67" i="3"/>
  <c r="J64" i="3"/>
  <c r="H21" i="2"/>
  <c r="T17" i="3" l="1"/>
  <c r="T16" i="3"/>
  <c r="S29" i="3"/>
  <c r="T20" i="3"/>
  <c r="S27" i="3"/>
  <c r="T10" i="3"/>
  <c r="N13" i="3"/>
  <c r="M32" i="3"/>
  <c r="N32" i="3" s="1"/>
  <c r="K65" i="3"/>
  <c r="S13" i="3"/>
  <c r="T13" i="3" s="1"/>
  <c r="S24" i="3"/>
  <c r="S25" i="3"/>
  <c r="S26" i="3"/>
  <c r="T8" i="3"/>
  <c r="R32" i="3"/>
  <c r="R33" i="3" s="1"/>
  <c r="R60" i="3" s="1"/>
  <c r="P60" i="3"/>
  <c r="T60" i="3" s="1"/>
  <c r="T33" i="3"/>
  <c r="T7" i="3"/>
  <c r="L62" i="3"/>
  <c r="L67" i="3" s="1"/>
  <c r="L68" i="3" s="1"/>
  <c r="L69" i="3" s="1"/>
  <c r="L64" i="3"/>
  <c r="J68" i="3"/>
  <c r="J65" i="3"/>
  <c r="H25" i="2"/>
  <c r="H26" i="2" s="1"/>
  <c r="D13" i="2" s="1"/>
  <c r="E13" i="2" s="1"/>
  <c r="H22" i="2"/>
  <c r="I24" i="2" s="1"/>
  <c r="H23" i="2"/>
  <c r="M33" i="3" l="1"/>
  <c r="M60" i="3" s="1"/>
  <c r="M63" i="3" s="1"/>
  <c r="L65" i="3"/>
  <c r="S21" i="3"/>
  <c r="T21" i="3" s="1"/>
  <c r="S32" i="3"/>
  <c r="J69" i="3"/>
  <c r="H29" i="2"/>
  <c r="D15" i="2" s="1"/>
  <c r="E15" i="2" s="1"/>
  <c r="H28" i="2"/>
  <c r="S33" i="3" l="1"/>
  <c r="S60" i="3" s="1"/>
  <c r="N60" i="3"/>
  <c r="N63" i="3" s="1"/>
  <c r="M62" i="3"/>
  <c r="M67" i="3" s="1"/>
  <c r="M68" i="3" s="1"/>
  <c r="N33" i="3"/>
  <c r="M64" i="3"/>
  <c r="H30" i="2"/>
  <c r="D16" i="2" s="1"/>
  <c r="D14" i="2"/>
  <c r="N62" i="3" l="1"/>
  <c r="M69" i="3"/>
  <c r="N68" i="3"/>
  <c r="M65" i="3"/>
  <c r="N64" i="3"/>
  <c r="E14" i="2"/>
  <c r="H33" i="2"/>
  <c r="D9" i="2"/>
  <c r="H10" i="2"/>
  <c r="L13" i="2" s="1"/>
  <c r="E16" i="2"/>
  <c r="E10" i="2"/>
  <c r="N65" i="3" l="1"/>
  <c r="N67" i="3"/>
  <c r="N69" i="3" s="1"/>
  <c r="F10" i="2"/>
  <c r="H48" i="2" s="1"/>
  <c r="H49" i="2" s="1"/>
  <c r="C9" i="2"/>
</calcChain>
</file>

<file path=xl/sharedStrings.xml><?xml version="1.0" encoding="utf-8"?>
<sst xmlns="http://schemas.openxmlformats.org/spreadsheetml/2006/main" count="564" uniqueCount="274">
  <si>
    <t>Inputs</t>
  </si>
  <si>
    <t>Subaward 1 Direct Amount</t>
  </si>
  <si>
    <t>Subaward 1 F&amp;A Amount</t>
  </si>
  <si>
    <t>Subaward 2 Direct Amount</t>
  </si>
  <si>
    <t>Subaward 2 F&amp;A Amount</t>
  </si>
  <si>
    <t>Subaward 3 Direct Amount</t>
  </si>
  <si>
    <t>Subaward 3 F&amp;A Amount</t>
  </si>
  <si>
    <t>Subaward 4 Direct Amount</t>
  </si>
  <si>
    <t>Subaward 4 F&amp;A Amount</t>
  </si>
  <si>
    <t>Subaward 5 Direct Amount</t>
  </si>
  <si>
    <t>Subaward 5 F&amp;A Amount</t>
  </si>
  <si>
    <t>Subk Max</t>
  </si>
  <si>
    <t>Subaward IDC Amount</t>
  </si>
  <si>
    <t>Max TDC Calc Amount</t>
  </si>
  <si>
    <t>Total Subaward 1</t>
  </si>
  <si>
    <t>Total Subaward 2</t>
  </si>
  <si>
    <t>Total Subaward 3</t>
  </si>
  <si>
    <t>Total Subaward 4</t>
  </si>
  <si>
    <t>Total Subaward 5</t>
  </si>
  <si>
    <t>Adjusted F&amp;A Amount</t>
  </si>
  <si>
    <t>Total Claimed F&amp;A</t>
  </si>
  <si>
    <t>F&amp;A Before Adjustments</t>
  </si>
  <si>
    <t>Percentage of Total F&amp;A Amount Budgeted by Subs</t>
  </si>
  <si>
    <t>Subaward Percentage of Total Project Amount</t>
  </si>
  <si>
    <t>Shortfall due to USDA NIFA TFFA Policy</t>
  </si>
  <si>
    <t>Input the information in the gray fields</t>
  </si>
  <si>
    <r>
      <t xml:space="preserve">Warning: look for </t>
    </r>
    <r>
      <rPr>
        <b/>
        <i/>
        <sz val="11"/>
        <color rgb="FFC00000"/>
        <rFont val="Calibri"/>
        <family val="2"/>
        <scheme val="minor"/>
      </rPr>
      <t>error messages</t>
    </r>
    <r>
      <rPr>
        <sz val="11"/>
        <color theme="1"/>
        <rFont val="Calibri"/>
        <family val="2"/>
        <scheme val="minor"/>
      </rPr>
      <t xml:space="preserve"> when inputting </t>
    </r>
  </si>
  <si>
    <t>Subaward 6 Direct Amount</t>
  </si>
  <si>
    <t>Subaward 6 F&amp;A Amount</t>
  </si>
  <si>
    <t>Total Subaward 6</t>
  </si>
  <si>
    <t>Subaward 7 Direct Amount</t>
  </si>
  <si>
    <t>Subaward 7 F&amp;A Amount</t>
  </si>
  <si>
    <t>Total Subaward 7</t>
  </si>
  <si>
    <t>Subaward 8 Direct Amount</t>
  </si>
  <si>
    <t>Subaward 8 F&amp;A Amount</t>
  </si>
  <si>
    <t>Total Subaward 8</t>
  </si>
  <si>
    <t>Subaward 9 Direct Amount</t>
  </si>
  <si>
    <t>Subaward 9 F&amp;A Amount</t>
  </si>
  <si>
    <t>Total Subaward 9</t>
  </si>
  <si>
    <t>Subaward 10 Direct Amount</t>
  </si>
  <si>
    <t>Subaward 10 F&amp;A Amount</t>
  </si>
  <si>
    <t>Total Subaward 10</t>
  </si>
  <si>
    <t>Subaward 11 Direct Amount</t>
  </si>
  <si>
    <t>Subaward 11 F&amp;A Amount</t>
  </si>
  <si>
    <t>Total Subaward 11</t>
  </si>
  <si>
    <t>Subaward 12 Direct Amount</t>
  </si>
  <si>
    <t>Subaward 12 F&amp;A Amount</t>
  </si>
  <si>
    <t>Total Subaward 12</t>
  </si>
  <si>
    <t>Subaward 13 Direct Amount</t>
  </si>
  <si>
    <t>Subaward 13 F&amp;A Amount</t>
  </si>
  <si>
    <t>Total Subaward 13</t>
  </si>
  <si>
    <t>Subaward 14 Direct Amount</t>
  </si>
  <si>
    <t>Subaward 14 F&amp;A Amount</t>
  </si>
  <si>
    <t>Total Subaward 14</t>
  </si>
  <si>
    <t>Subaward 15 Direct Amount</t>
  </si>
  <si>
    <t>Subaward 15 F&amp;A Amount</t>
  </si>
  <si>
    <t>Total Subaward 15</t>
  </si>
  <si>
    <t>Total Subaward IDC</t>
  </si>
  <si>
    <t>Total Subaward Direct Amount</t>
  </si>
  <si>
    <t>Total Subaward Amount</t>
  </si>
  <si>
    <t>Total Subaward F&amp;A Amount</t>
  </si>
  <si>
    <t>OSU Total Direct Costs (including Subawards)</t>
  </si>
  <si>
    <t>OSU Direct Cost Exclusions Other Than Subawards</t>
  </si>
  <si>
    <t>OSU MTDC Adjusted Base Amount</t>
  </si>
  <si>
    <t>OSU MTDC F&amp;A Rate</t>
  </si>
  <si>
    <t>OSU F&amp;A Amount</t>
  </si>
  <si>
    <t>OSU MTDC Calc Amount</t>
  </si>
  <si>
    <t>OSU MTDC Bonus Amount</t>
  </si>
  <si>
    <t>Is OSU F&amp;A and Subs F&amp;A less than Max</t>
  </si>
  <si>
    <t>OSU F&amp;A Amount Before Adjustments</t>
  </si>
  <si>
    <t>OSU Effective MTDC Rate Before Adjustments</t>
  </si>
  <si>
    <t>Adjusted OSU Effective MTDC Rate</t>
  </si>
  <si>
    <t>OSU IDC Amount</t>
  </si>
  <si>
    <t>Title:</t>
  </si>
  <si>
    <t>Sponsor:</t>
  </si>
  <si>
    <t>Start Date:</t>
  </si>
  <si>
    <t>End Date:</t>
  </si>
  <si>
    <t xml:space="preserve"> </t>
  </si>
  <si>
    <t>Rate Required</t>
  </si>
  <si>
    <t>Salaries</t>
  </si>
  <si>
    <t># of Months per year</t>
  </si>
  <si>
    <t xml:space="preserve">Match </t>
  </si>
  <si>
    <t>Match</t>
  </si>
  <si>
    <t>Key Personnel</t>
  </si>
  <si>
    <t>Cal</t>
  </si>
  <si>
    <t>Aca</t>
  </si>
  <si>
    <t>Sum</t>
  </si>
  <si>
    <t>Rate</t>
  </si>
  <si>
    <t>Time matched</t>
  </si>
  <si>
    <t>YEAR  1</t>
  </si>
  <si>
    <t>YEAR  2</t>
  </si>
  <si>
    <t>YEAR 3</t>
  </si>
  <si>
    <t>YEAR 4</t>
  </si>
  <si>
    <t>YEAR 5</t>
  </si>
  <si>
    <t>TOTAL</t>
  </si>
  <si>
    <t xml:space="preserve">PI </t>
  </si>
  <si>
    <t>Total Key Personnel Salaries</t>
  </si>
  <si>
    <t>Other Personnel</t>
  </si>
  <si>
    <t>Total Other Personnel Salaries</t>
  </si>
  <si>
    <t>Benefits</t>
  </si>
  <si>
    <t>FBR-fringe benefit rates</t>
  </si>
  <si>
    <t>Fringe rates</t>
  </si>
  <si>
    <t>Yr 5</t>
  </si>
  <si>
    <t>Total Benefits</t>
  </si>
  <si>
    <t>TOTAL SALARY &amp; BENEFITS</t>
  </si>
  <si>
    <t>Use the Calculation  that gives you the lower amount of F/A</t>
  </si>
  <si>
    <t>Direct Costs</t>
  </si>
  <si>
    <t xml:space="preserve">Equipment </t>
  </si>
  <si>
    <t>Travel</t>
  </si>
  <si>
    <t>Materials and Supplies</t>
  </si>
  <si>
    <t xml:space="preserve">Publication </t>
  </si>
  <si>
    <t>Consultant Service</t>
  </si>
  <si>
    <t>ADP/Computer Services</t>
  </si>
  <si>
    <t xml:space="preserve">Subcontract 1: </t>
  </si>
  <si>
    <t xml:space="preserve">(additional calculation will need </t>
  </si>
  <si>
    <t xml:space="preserve">Subcontract 2 </t>
  </si>
  <si>
    <t>completed on any subawards)</t>
  </si>
  <si>
    <t xml:space="preserve">Subcontract 3 </t>
  </si>
  <si>
    <t xml:space="preserve">Subcontract 4 </t>
  </si>
  <si>
    <t xml:space="preserve">Subcontract 5 </t>
  </si>
  <si>
    <t xml:space="preserve">Subcontract 6 </t>
  </si>
  <si>
    <t xml:space="preserve">Subcontract 7 </t>
  </si>
  <si>
    <t>Subcontract 8</t>
  </si>
  <si>
    <t>Subcontract 9</t>
  </si>
  <si>
    <t>Subcontract 10</t>
  </si>
  <si>
    <t>Subcontract Total</t>
  </si>
  <si>
    <t>Facility Rental/User Fees</t>
  </si>
  <si>
    <t>Alterations and Renovations</t>
  </si>
  <si>
    <t xml:space="preserve">Student Tuitions and Fees </t>
  </si>
  <si>
    <t>See Tuition tab</t>
  </si>
  <si>
    <t xml:space="preserve">Other: </t>
  </si>
  <si>
    <t>Total Direct Costs</t>
  </si>
  <si>
    <t xml:space="preserve">Total Direct Costs </t>
  </si>
  <si>
    <t>MTDC Indirect Calculations</t>
  </si>
  <si>
    <t>USDA Rate</t>
  </si>
  <si>
    <t>Use This</t>
  </si>
  <si>
    <t xml:space="preserve">Modified Total  Indirect Cost Base </t>
  </si>
  <si>
    <t xml:space="preserve">Total Direct Cost </t>
  </si>
  <si>
    <t xml:space="preserve">Total Costs </t>
  </si>
  <si>
    <t>less total subaward amount</t>
  </si>
  <si>
    <t xml:space="preserve">add first 25K from sub </t>
  </si>
  <si>
    <t>TDC rate</t>
  </si>
  <si>
    <t xml:space="preserve">add Modified total direct costs </t>
  </si>
  <si>
    <t xml:space="preserve">List the materials and supplies you will need for your portion of the project. </t>
  </si>
  <si>
    <t>Yr 1</t>
  </si>
  <si>
    <t>Yr 2</t>
  </si>
  <si>
    <t>Yr 3</t>
  </si>
  <si>
    <t>Yr 4</t>
  </si>
  <si>
    <t xml:space="preserve">Yr 5 </t>
  </si>
  <si>
    <t xml:space="preserve">Total </t>
  </si>
  <si>
    <t>Description</t>
  </si>
  <si>
    <t>Insert your travel details</t>
  </si>
  <si>
    <t>Traveler's Name</t>
  </si>
  <si>
    <t>Location:</t>
  </si>
  <si>
    <t>Trip Detail: please be specific-mileage, airfare, perdiem, (this helps us to complete the Justification)</t>
  </si>
  <si>
    <t>Trip Detail:</t>
  </si>
  <si>
    <t>F&amp;A Calculator -&gt;</t>
  </si>
  <si>
    <t>Use MTDC Rate Type</t>
  </si>
  <si>
    <t>&amp; Rate -&gt;</t>
  </si>
  <si>
    <t>Cost Share – F&amp;A Implications</t>
  </si>
  <si>
    <t>F&amp;A Rate Calculator Instructions</t>
  </si>
  <si>
    <t xml:space="preserve">         a. The subawardee should determine the applicable IDC amount which is the lessor of their federally approved F&amp;A rate (NICRA) amount and 42.857% TDC amount.</t>
  </si>
  <si>
    <t>Time Charged to Grant</t>
  </si>
  <si>
    <t>Co-investigator</t>
  </si>
  <si>
    <t>Enter travel details on travel tab</t>
  </si>
  <si>
    <t>Enter material/supplies on material/supplies tab</t>
  </si>
  <si>
    <t>Indirect Costs</t>
  </si>
  <si>
    <t>Graduate Assistant Fringe - Tuition &amp; Health Components</t>
  </si>
  <si>
    <t>Office of Sponsored Programs/Contract &amp; Grant Administration</t>
  </si>
  <si>
    <t>Estimated for the Period of 8/16/2019 through 8/15/2025*</t>
  </si>
  <si>
    <t>2019-2020</t>
  </si>
  <si>
    <t>2020-2021</t>
  </si>
  <si>
    <t>2021-2022</t>
  </si>
  <si>
    <t>2022-2023</t>
  </si>
  <si>
    <t>2023-2024</t>
  </si>
  <si>
    <t>2024-2025</t>
  </si>
  <si>
    <t>Health:</t>
  </si>
  <si>
    <t>Fall</t>
  </si>
  <si>
    <t>Spring</t>
  </si>
  <si>
    <t>Summer</t>
  </si>
  <si>
    <t>$ -</t>
  </si>
  <si>
    <t>Health Total</t>
  </si>
  <si>
    <t>Tuition &amp; Fees:</t>
  </si>
  <si>
    <t>Fall Spring Summer</t>
  </si>
  <si>
    <t>Tuition &amp; Fees Total</t>
  </si>
  <si>
    <t>9 Month Total Costs</t>
  </si>
  <si>
    <t>Grad Students (Excluding Engineering)</t>
  </si>
  <si>
    <t>$ 5,223   $ 5,432   $ 5,649   $ 5,875   $</t>
  </si>
  <si>
    <t>$ 2,331   $ 2,424   $ 2,521   $ 2,622   $</t>
  </si>
  <si>
    <t>6,110   $</t>
  </si>
  <si>
    <t>2,727   $</t>
  </si>
  <si>
    <t>$ 12,777   $ 13,288   $ 13,819   $ 14,372 $</t>
  </si>
  <si>
    <t>14,947 $</t>
  </si>
  <si>
    <t>$ 13,206   $ 13,790   $ 14,400   $ 15,038 $</t>
  </si>
  <si>
    <t>15,706 $</t>
  </si>
  <si>
    <t>12 Month Total Costs  $ 15,537   $ 16,214   $ 16,921   $ 17,660 $</t>
  </si>
  <si>
    <t>18,433 $</t>
  </si>
  <si>
    <t>Engineering Grad Students</t>
  </si>
  <si>
    <t>$ 4,873   $ 5,068   $ 5,271   $ 5,482   $</t>
  </si>
  <si>
    <t>5,701   $</t>
  </si>
  <si>
    <t>$ 12,077   $ 12,560   $ 13,063   $ 13,586 $</t>
  </si>
  <si>
    <t>14,129 $</t>
  </si>
  <si>
    <t>$ 12,506   $ 13,062   $ 13,644   $ 14,252 $</t>
  </si>
  <si>
    <t>14,888 $</t>
  </si>
  <si>
    <t>12 Month Total Costs  $ 14,837   $ 15,486   $ 16,165   $ 16,874 $</t>
  </si>
  <si>
    <t>17,615 $</t>
  </si>
  <si>
    <t>The Tuition and Health benefits will be charged on a bi-weekly basis. Tuition and Fees will be charged to object code 6230 and Health will be charged to object code 6516. The above amounts will be applied to all Grads regardless of percent employment (1/4, 1/2 or 3/4).</t>
  </si>
  <si>
    <t>Awards using MSU's negotiated F&amp;A rates will not be charged F&amp;A on the tuition portion.</t>
  </si>
  <si>
    <t>* Assumes increases of 6.0% per year for health and 4.0% per year for graduate tuition.</t>
  </si>
  <si>
    <r>
      <t xml:space="preserve">FICA Note </t>
    </r>
    <r>
      <rPr>
        <sz val="8"/>
        <color theme="1"/>
        <rFont val="Arial"/>
        <family val="2"/>
      </rPr>
      <t>- Graduate Assistant's enrolled for less than 5 credits for Master's level or 3 credits for Doctoral level will be assessed 7.65% FICA/Medicare in addition to the above charges.</t>
    </r>
  </si>
  <si>
    <r>
      <t xml:space="preserve">ACA Note </t>
    </r>
    <r>
      <rPr>
        <sz val="8"/>
        <color theme="1"/>
        <rFont val="Arial"/>
        <family val="2"/>
      </rPr>
      <t xml:space="preserve">- Graduate Assistants who have a 3/4 time appointment and are enrolled in the Consumer Driven Health Plan (CDHP) insurance which is offered due to ACA requirements (in addition to the student health insurance ) will need an </t>
    </r>
    <r>
      <rPr>
        <b/>
        <sz val="8"/>
        <color theme="1"/>
        <rFont val="Arial"/>
        <family val="2"/>
      </rPr>
      <t xml:space="preserve">additional </t>
    </r>
    <r>
      <rPr>
        <sz val="8"/>
        <color theme="1"/>
        <rFont val="Arial"/>
        <family val="2"/>
      </rPr>
      <t>$428.57/month budgeted. This cost should be included in the "other" category of your budget.</t>
    </r>
  </si>
  <si>
    <t>MSU-HRD offers Summer-only stipend-only no-tuition Research Graduate Assistantships for qualifying individuals. Contact MSU-HRD for further details at 517-353-4434.</t>
  </si>
  <si>
    <t>Source, Office of Sponsored Programs: https://www.cga.msu.edu/PL/Portal/356/DevelopBudget</t>
  </si>
  <si>
    <t>Office of Sponsored Programs/Contract &amp; Grant Administration Guide to Specific Identification (SI) of Fringe Benefits (FB)</t>
  </si>
  <si>
    <t>These formulas will need to be adjusted by replacing the "B" column reference to the appropriate column in your worksheet.</t>
  </si>
  <si>
    <t>The green cells in this worksheet (B9, B11 and F12-19) can be used to model various examples, i.e. the rest of the worksheet is driven from these; the default amounts are listed in the "Rates" tab.</t>
  </si>
  <si>
    <t>Inflation Factor</t>
  </si>
  <si>
    <t>Time Period</t>
  </si>
  <si>
    <t>Salary +  inflation Increase</t>
  </si>
  <si>
    <t>FB Costs &amp; Formula</t>
  </si>
  <si>
    <t>Calculated SI Rate for this salary</t>
  </si>
  <si>
    <t>FB Cost Assumptions: FICA 6.2% up to salary cap (cap inflated 4% per year), Medicare 1.45% on all salaries, Health, Drugs &amp; Dental inflated as shown.</t>
  </si>
  <si>
    <t>Estimated Health Increase</t>
  </si>
  <si>
    <t>Project Health Costs</t>
  </si>
  <si>
    <t>Retiree Costs</t>
  </si>
  <si>
    <t>Please adjust the FB amount shown in column C if the person is split between accounts.</t>
  </si>
  <si>
    <t>https://www.cga.msu.edu/PL/Portal/95/20192020FringeBenefitsforSponsoredProjects</t>
  </si>
  <si>
    <t>Notes</t>
  </si>
  <si>
    <t>This spreadsheet will help you develop your budget draft; the information will be input into the KC system. Please do not share this budget spreadsheet with your funder, as it is not final or approved yet.</t>
  </si>
  <si>
    <t>If on campus, and USDA restricts rate to 30, 22, or 10%, use rate in table for cell G66</t>
  </si>
  <si>
    <t>Material or Supply</t>
  </si>
  <si>
    <t>Enter % of time to calculate wage</t>
  </si>
  <si>
    <t>Do not enter fringe, it will auto calculate directly from salary above</t>
  </si>
  <si>
    <t>Modified total indirect cost does not include: equipment, graduate assistant tuition, participant support costs, capital expenditures, space rental, scholarships, charges for patient care and subawards over $25,000</t>
  </si>
  <si>
    <t>MSU Total Direct Costs (including Subawards)</t>
  </si>
  <si>
    <t>MSU Direct Cost Exclusions Other Than Subawards</t>
  </si>
  <si>
    <t>MSU F&amp;A Amount</t>
  </si>
  <si>
    <t>MSU MTDC Adjusted Base Amount</t>
  </si>
  <si>
    <t>MSU MTDC F&amp;A Rate</t>
  </si>
  <si>
    <t>MSUE MTDC Calc Amount</t>
  </si>
  <si>
    <t>MSU MTDC Bonus Amount</t>
  </si>
  <si>
    <t>Is MSUF&amp;A and Subs F&amp;A less than Max</t>
  </si>
  <si>
    <t>MSU F&amp;A Amount Before Adjustments</t>
  </si>
  <si>
    <t>MSU Effective MTDC Rate Before Adjustments</t>
  </si>
  <si>
    <t>Adjusted MSU Effective MTDC Rate</t>
  </si>
  <si>
    <t>MSU IDC Amount</t>
  </si>
  <si>
    <t>The 2018 Farm Bill has changed how to calculate USDA F&amp;A (i.e. indirect cost amount) when MSU is the direct applicant and the budget includes subawards. The change limits the indirect cost amount for the overall award to 30% of Total Federal Funds Awarded (TFFA) under a research, education, or extension grant (30% TFFA = 42.857% TDC).</t>
  </si>
  <si>
    <t>MSU is implementing this change by following the below procedure. We will continue to evaluate the implications of the revised Farm Bill and will communicate any procedure changes.</t>
  </si>
  <si>
    <t>If the budget does not include subawards, then you would follow the normal process of determining the lesser of the TFFA or MTDC F&amp;A amount for MSU’s budget.</t>
  </si>
  <si>
    <t xml:space="preserve">If the budget includes subawards and MSU is the direct applicant to USDA, the attached F&amp;A Calculator is provided to help determine the applicable F&amp;A basis and rate. The calculation can be tricky since any F&amp;A requested by the subawardee(s) must be evaluated in relationship to the total possible F&amp;A available (30% TFFA /Equivalent 42.857% TDC). This can result in MSU’s F&amp;A basis and rate being less than or equal to the maximum applicable rate. </t>
  </si>
  <si>
    <t>To reduce the difficulty in implementing the Farm Bill F&amp;A Cap, during the initial implementation of this F&amp;A change, MSU allows subawardees to follow the normal process of determining the lesser of the TFFA or MTDC F&amp;A amount.</t>
  </si>
  <si>
    <t>Input the gray fields in the Excel spreadsheet</t>
  </si>
  <si>
    <t>1. Enter MSU’s total direct costs (including the subaward amounts, if any) in cell D2.</t>
  </si>
  <si>
    <t>2. Enter MSU's  MTDC exclusions (other than the subaward amounts) in cell D3.</t>
  </si>
  <si>
    <t xml:space="preserve">   3. Enter MSU's applicable F&amp;A rate (e.g. 56.5% for on campus, 26% for off-campus) in cell D7.</t>
  </si>
  <si>
    <t xml:space="preserve">   4. Enter the subawardee direct and indirect amounts (contact MSUE Grant Services if you have more than 15 subawards budgeted) in the separately provided input boxes provided in Column D.</t>
  </si>
  <si>
    <t xml:space="preserve">  5. Use the base and rate identified in cells D10 AND F10 for MSU's budget.</t>
  </si>
  <si>
    <t>a. Contact MSUE Grant Services if you have any questions or if the calculations appear incorrect.</t>
  </si>
  <si>
    <r>
      <t xml:space="preserve">Please review the solicitation in order to determine if F&amp;A is allowed in the cost share budget. If the solicitation is unclear please contact your MSUE Proposal Team for guidance. For the 2019 Specialty Crop Research Initiative (SCRI) RFA, USDA has indicated via a teleconference that they </t>
    </r>
    <r>
      <rPr>
        <b/>
        <i/>
        <sz val="11"/>
        <color theme="1"/>
        <rFont val="Calibri"/>
        <family val="2"/>
        <scheme val="minor"/>
      </rPr>
      <t>will not</t>
    </r>
    <r>
      <rPr>
        <sz val="11"/>
        <color theme="1"/>
        <rFont val="Calibri"/>
        <family val="2"/>
        <scheme val="minor"/>
      </rPr>
      <t xml:space="preserve"> recognize F&amp;A in the cost share budget.</t>
    </r>
  </si>
  <si>
    <t>Need to update rows 37 and 38</t>
  </si>
  <si>
    <t>Please use GSA Rates</t>
  </si>
  <si>
    <t>https://www.gsa.gov/travel/plan-book/per-diem-rates</t>
  </si>
  <si>
    <t>Please see the grad assistant fringe tab of this worksheet to calculate the SI rates for Post Docs.</t>
  </si>
  <si>
    <t>Hourly Rate</t>
  </si>
  <si>
    <t>Hourly Student</t>
  </si>
  <si>
    <t>Graduate Assistant</t>
  </si>
  <si>
    <t>Bi-Weekly 
Stipend Amount</t>
  </si>
  <si>
    <t>AY = 19.5
FY = 26</t>
  </si>
  <si>
    <t>Academic year = Fall and Winter, Full Year includes summer</t>
  </si>
  <si>
    <t>Estimated Hours</t>
  </si>
  <si>
    <t>For graduate assistant fringe, enter the health care amount from the Graduate Assistant Fringe tab</t>
  </si>
  <si>
    <t>See "Fringe Benefits tab" for information on calculating rates based upon salary</t>
  </si>
  <si>
    <t>For off campus projects, use indirect rate of 26%; change cell G64 to 26%</t>
  </si>
  <si>
    <t>Mileage rate: .56 per mile; for federal budgets, first and last day of travel is 75% of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</si>
</sst>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000_);_(* \(#,##0.0000\);_(* &quot;-&quot;??_);_(@_)"/>
    <numFmt numFmtId="167" formatCode="&quot;$&quot;#,##0"/>
    <numFmt numFmtId="168" formatCode="#,##0;[Red]\-#,##0"/>
    <numFmt numFmtId="169" formatCode="#,##0.00;[Red]\-#,##0.00"/>
    <numFmt numFmtId="170" formatCode="_(&quot;$&quot;* #,##0_);_(&quot;$&quot;* \(#,##0\);_(&quot;$&quot;* &quot;-&quot;??_);_(@_)"/>
    <numFmt numFmtId="171" formatCode="0.000%"/>
    <numFmt numFmtId="172" formatCode="&quot;$&quot;#,##0.00"/>
  </numFmts>
  <fonts count="68" x14ac:knownFonts="1">
    <font>
      <sz val="11"/>
      <color theme="1"/>
      <name val="Calibri"/>
      <family val="2"/>
      <scheme val="minor"/>
    </font>
    <font>
      <sz val="11"/>
      <color theme="1"/>
      <name val="Calibri"/>
      <family val="2"/>
      <scheme val="minor"/>
    </font>
    <font>
      <sz val="8"/>
      <color theme="1"/>
      <name val="Calibri"/>
      <family val="2"/>
      <scheme val="minor"/>
    </font>
    <font>
      <sz val="11"/>
      <name val="Calibri"/>
      <family val="2"/>
      <scheme val="minor"/>
    </font>
    <font>
      <b/>
      <sz val="11"/>
      <color rgb="FFC00000"/>
      <name val="Calibri"/>
      <family val="2"/>
      <scheme val="minor"/>
    </font>
    <font>
      <b/>
      <i/>
      <sz val="11"/>
      <color theme="1"/>
      <name val="Calibri"/>
      <family val="2"/>
      <scheme val="minor"/>
    </font>
    <font>
      <b/>
      <sz val="11"/>
      <color theme="1"/>
      <name val="Calibri"/>
      <family val="2"/>
      <scheme val="minor"/>
    </font>
    <font>
      <b/>
      <sz val="11"/>
      <name val="Calibri"/>
      <family val="2"/>
      <scheme val="minor"/>
    </font>
    <font>
      <b/>
      <i/>
      <sz val="11"/>
      <color rgb="FFC00000"/>
      <name val="Calibri"/>
      <family val="2"/>
      <scheme val="minor"/>
    </font>
    <font>
      <b/>
      <sz val="11"/>
      <color theme="4"/>
      <name val="Calibri"/>
      <family val="2"/>
      <scheme val="minor"/>
    </font>
    <font>
      <b/>
      <i/>
      <sz val="11"/>
      <color theme="4"/>
      <name val="Calibri"/>
      <family val="2"/>
      <scheme val="minor"/>
    </font>
    <font>
      <u/>
      <sz val="11"/>
      <color theme="10"/>
      <name val="Calibri"/>
      <family val="2"/>
      <scheme val="minor"/>
    </font>
    <font>
      <sz val="10"/>
      <color theme="0"/>
      <name val="Calibri"/>
      <family val="2"/>
      <scheme val="minor"/>
    </font>
    <font>
      <sz val="11"/>
      <color theme="0"/>
      <name val="Calibri"/>
      <family val="2"/>
      <scheme val="minor"/>
    </font>
    <font>
      <sz val="10"/>
      <name val="MS Sans Serif"/>
      <family val="2"/>
    </font>
    <font>
      <b/>
      <sz val="14"/>
      <name val="Calibri"/>
      <family val="2"/>
      <scheme val="minor"/>
    </font>
    <font>
      <sz val="10"/>
      <name val="Calibri"/>
      <family val="2"/>
      <scheme val="minor"/>
    </font>
    <font>
      <sz val="12"/>
      <color theme="1"/>
      <name val="Calibri"/>
      <family val="2"/>
      <scheme val="minor"/>
    </font>
    <font>
      <b/>
      <sz val="14"/>
      <color theme="1"/>
      <name val="Calibri"/>
      <family val="2"/>
      <scheme val="minor"/>
    </font>
    <font>
      <sz val="14"/>
      <name val="Calibri"/>
      <family val="2"/>
      <scheme val="minor"/>
    </font>
    <font>
      <b/>
      <sz val="10"/>
      <name val="Calibri"/>
      <family val="2"/>
      <scheme val="minor"/>
    </font>
    <font>
      <b/>
      <sz val="11"/>
      <color rgb="FFFF0000"/>
      <name val="Calibri"/>
      <family val="2"/>
      <scheme val="minor"/>
    </font>
    <font>
      <b/>
      <sz val="10"/>
      <color rgb="FFFF0000"/>
      <name val="Calibri"/>
      <family val="2"/>
      <scheme val="minor"/>
    </font>
    <font>
      <i/>
      <sz val="11"/>
      <name val="Calibri"/>
      <family val="2"/>
      <scheme val="minor"/>
    </font>
    <font>
      <b/>
      <i/>
      <sz val="16"/>
      <name val="Calibri"/>
      <family val="2"/>
      <scheme val="minor"/>
    </font>
    <font>
      <b/>
      <i/>
      <sz val="14"/>
      <name val="Calibri"/>
      <family val="2"/>
      <scheme val="minor"/>
    </font>
    <font>
      <i/>
      <sz val="10"/>
      <name val="Calibri"/>
      <family val="2"/>
      <scheme val="minor"/>
    </font>
    <font>
      <b/>
      <sz val="12"/>
      <name val="Calibri"/>
      <family val="2"/>
      <scheme val="minor"/>
    </font>
    <font>
      <b/>
      <i/>
      <sz val="11"/>
      <name val="Calibri"/>
      <family val="2"/>
      <scheme val="minor"/>
    </font>
    <font>
      <i/>
      <sz val="11"/>
      <color theme="1"/>
      <name val="Calibri"/>
      <family val="2"/>
      <scheme val="minor"/>
    </font>
    <font>
      <b/>
      <i/>
      <sz val="14"/>
      <color theme="1"/>
      <name val="Calibri"/>
      <family val="2"/>
      <scheme val="minor"/>
    </font>
    <font>
      <b/>
      <sz val="8"/>
      <name val="Calibri"/>
      <family val="2"/>
      <scheme val="minor"/>
    </font>
    <font>
      <b/>
      <sz val="9"/>
      <name val="Calibri"/>
      <family val="2"/>
      <scheme val="minor"/>
    </font>
    <font>
      <b/>
      <sz val="10"/>
      <color theme="1"/>
      <name val="Calibri"/>
      <family val="2"/>
      <scheme val="minor"/>
    </font>
    <font>
      <b/>
      <i/>
      <sz val="9"/>
      <color theme="0"/>
      <name val="Calibri"/>
      <family val="2"/>
      <scheme val="minor"/>
    </font>
    <font>
      <sz val="10"/>
      <color rgb="FFD5FE8C"/>
      <name val="Calibri"/>
      <family val="2"/>
      <scheme val="minor"/>
    </font>
    <font>
      <sz val="9"/>
      <name val="Calibri"/>
      <family val="2"/>
      <scheme val="minor"/>
    </font>
    <font>
      <sz val="11"/>
      <color indexed="9"/>
      <name val="Calibri"/>
      <family val="2"/>
    </font>
    <font>
      <b/>
      <sz val="16"/>
      <color indexed="9"/>
      <name val="Calibri"/>
      <family val="2"/>
    </font>
    <font>
      <sz val="12"/>
      <color indexed="9"/>
      <name val="Calibri"/>
      <family val="2"/>
    </font>
    <font>
      <sz val="11"/>
      <color theme="1"/>
      <name val="Arial"/>
      <family val="2"/>
    </font>
    <font>
      <b/>
      <sz val="11"/>
      <color theme="1"/>
      <name val="Arial"/>
      <family val="2"/>
    </font>
    <font>
      <u/>
      <sz val="9"/>
      <color theme="10"/>
      <name val="Arial"/>
      <family val="2"/>
    </font>
    <font>
      <sz val="10"/>
      <name val="Arial"/>
      <family val="2"/>
    </font>
    <font>
      <b/>
      <sz val="11"/>
      <color rgb="FFFF0000"/>
      <name val="Arial"/>
      <family val="2"/>
    </font>
    <font>
      <sz val="8"/>
      <name val="Calibri Light"/>
      <family val="1"/>
      <scheme val="major"/>
    </font>
    <font>
      <b/>
      <sz val="11"/>
      <color indexed="63"/>
      <name val="Calibri"/>
      <family val="2"/>
    </font>
    <font>
      <b/>
      <sz val="12"/>
      <color rgb="FFFF0000"/>
      <name val="Calibri"/>
      <family val="2"/>
      <scheme val="minor"/>
    </font>
    <font>
      <sz val="11"/>
      <name val="Arial"/>
      <family val="2"/>
    </font>
    <font>
      <b/>
      <sz val="10"/>
      <name val="MS Sans Serif"/>
      <family val="2"/>
    </font>
    <font>
      <b/>
      <sz val="11"/>
      <name val="Arial"/>
      <family val="2"/>
    </font>
    <font>
      <b/>
      <sz val="12"/>
      <name val="Arial"/>
      <family val="2"/>
    </font>
    <font>
      <b/>
      <sz val="13.5"/>
      <color theme="1"/>
      <name val="Calibri"/>
      <family val="2"/>
      <scheme val="minor"/>
    </font>
    <font>
      <b/>
      <sz val="12"/>
      <color theme="1"/>
      <name val="Calibri"/>
      <family val="2"/>
      <scheme val="minor"/>
    </font>
    <font>
      <sz val="11"/>
      <color rgb="FF0563C1"/>
      <name val="Calibri"/>
      <family val="2"/>
      <scheme val="minor"/>
    </font>
    <font>
      <b/>
      <sz val="8"/>
      <color theme="1"/>
      <name val="Arial"/>
      <family val="2"/>
    </font>
    <font>
      <sz val="8"/>
      <color theme="1"/>
      <name val="Times New Roman"/>
      <family val="1"/>
    </font>
    <font>
      <sz val="7"/>
      <color theme="1"/>
      <name val="Times New Roman"/>
      <family val="1"/>
    </font>
    <font>
      <sz val="8"/>
      <color theme="1"/>
      <name val="Arial"/>
      <family val="2"/>
    </font>
    <font>
      <sz val="9"/>
      <color theme="1"/>
      <name val="Times New Roman"/>
      <family val="1"/>
    </font>
    <font>
      <b/>
      <sz val="8"/>
      <color rgb="FF000000"/>
      <name val="Arial"/>
      <family val="2"/>
    </font>
    <font>
      <sz val="8"/>
      <color rgb="FF000000"/>
      <name val="Arial"/>
      <family val="2"/>
    </font>
    <font>
      <sz val="13"/>
      <color theme="1"/>
      <name val="Times New Roman"/>
      <family val="1"/>
    </font>
    <font>
      <b/>
      <sz val="10"/>
      <color rgb="FF000000"/>
      <name val="Arial"/>
      <family val="2"/>
    </font>
    <font>
      <sz val="12"/>
      <color theme="1"/>
      <name val="Times New Roman"/>
      <family val="1"/>
    </font>
    <font>
      <sz val="11"/>
      <color rgb="FFFF0000"/>
      <name val="Calibri"/>
      <family val="2"/>
      <scheme val="minor"/>
    </font>
    <font>
      <b/>
      <sz val="10"/>
      <name val="MS Sans Serif"/>
    </font>
    <font>
      <sz val="10"/>
      <name val="Arial"/>
      <family val="2"/>
    </font>
  </fonts>
  <fills count="46">
    <fill>
      <patternFill patternType="none"/>
    </fill>
    <fill>
      <patternFill patternType="gray125"/>
    </fill>
    <fill>
      <patternFill patternType="solid">
        <fgColor theme="3" tint="0.79998168889431442"/>
        <bgColor indexed="64"/>
      </patternFill>
    </fill>
    <fill>
      <patternFill patternType="solid">
        <fgColor theme="5"/>
      </patternFill>
    </fill>
    <fill>
      <patternFill patternType="solid">
        <fgColor rgb="FFFFFF00"/>
        <bgColor indexed="64"/>
      </patternFill>
    </fill>
    <fill>
      <patternFill patternType="solid">
        <fgColor rgb="FFFFFFCC"/>
        <bgColor indexed="64"/>
      </patternFill>
    </fill>
    <fill>
      <patternFill patternType="solid">
        <fgColor indexed="47"/>
        <bgColor indexed="64"/>
      </patternFill>
    </fill>
    <fill>
      <patternFill patternType="solid">
        <fgColor indexed="26"/>
        <bgColor indexed="64"/>
      </patternFill>
    </fill>
    <fill>
      <patternFill patternType="solid">
        <fgColor rgb="FFD5FE8C"/>
        <bgColor indexed="64"/>
      </patternFill>
    </fill>
    <fill>
      <patternFill patternType="solid">
        <fgColor theme="1"/>
        <bgColor indexed="64"/>
      </patternFill>
    </fill>
    <fill>
      <patternFill patternType="solid">
        <fgColor theme="2" tint="-0.249977111117893"/>
        <bgColor indexed="64"/>
      </patternFill>
    </fill>
    <fill>
      <patternFill patternType="darkTrellis">
        <bgColor theme="1"/>
      </patternFill>
    </fill>
    <fill>
      <patternFill patternType="solid">
        <fgColor theme="0" tint="-0.14999847407452621"/>
        <bgColor theme="0"/>
      </patternFill>
    </fill>
    <fill>
      <patternFill patternType="solid">
        <fgColor theme="2" tint="-0.249977111117893"/>
        <bgColor theme="0"/>
      </patternFill>
    </fill>
    <fill>
      <patternFill patternType="solid">
        <fgColor theme="0"/>
        <bgColor theme="0"/>
      </patternFill>
    </fill>
    <fill>
      <patternFill patternType="solid">
        <fgColor rgb="FFD5FE8C"/>
        <bgColor theme="0"/>
      </patternFill>
    </fill>
    <fill>
      <patternFill patternType="gray125">
        <bgColor indexed="42"/>
      </patternFill>
    </fill>
    <fill>
      <patternFill patternType="gray125">
        <bgColor rgb="FF92D050"/>
      </patternFill>
    </fill>
    <fill>
      <patternFill patternType="solid">
        <fgColor rgb="FF92D050"/>
        <bgColor indexed="64"/>
      </patternFill>
    </fill>
    <fill>
      <patternFill patternType="solid">
        <fgColor rgb="FF92D050"/>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0" tint="-0.14999847407452621"/>
        <bgColor indexed="64"/>
      </patternFill>
    </fill>
    <fill>
      <patternFill patternType="solid">
        <fgColor rgb="FFD5FE8C"/>
        <bgColor theme="5" tint="-0.24994659260841701"/>
      </patternFill>
    </fill>
    <fill>
      <patternFill patternType="solid">
        <fgColor theme="1"/>
        <bgColor theme="5" tint="-0.24994659260841701"/>
      </patternFill>
    </fill>
    <fill>
      <patternFill patternType="solid">
        <fgColor theme="0"/>
        <bgColor theme="5" tint="-0.24994659260841701"/>
      </patternFill>
    </fill>
    <fill>
      <patternFill patternType="solid">
        <fgColor theme="0" tint="-0.14996795556505021"/>
        <bgColor theme="5" tint="-0.24994659260841701"/>
      </patternFill>
    </fill>
    <fill>
      <patternFill patternType="solid">
        <fgColor theme="0" tint="-0.14996795556505021"/>
        <bgColor rgb="FF00B050"/>
      </patternFill>
    </fill>
    <fill>
      <patternFill patternType="solid">
        <fgColor theme="0"/>
        <bgColor indexed="64"/>
      </patternFill>
    </fill>
    <fill>
      <patternFill patternType="solid">
        <fgColor rgb="FF92D050"/>
        <bgColor theme="5" tint="-0.24994659260841701"/>
      </patternFill>
    </fill>
    <fill>
      <patternFill patternType="solid">
        <fgColor indexed="49"/>
      </patternFill>
    </fill>
    <fill>
      <patternFill patternType="solid">
        <fgColor theme="8" tint="0.79998168889431442"/>
        <bgColor indexed="64"/>
      </patternFill>
    </fill>
    <fill>
      <patternFill patternType="solid">
        <fgColor theme="2" tint="-9.9978637043366805E-2"/>
        <bgColor indexed="64"/>
      </patternFill>
    </fill>
    <fill>
      <patternFill patternType="solid">
        <fgColor indexed="65"/>
        <bgColor theme="0"/>
      </patternFill>
    </fill>
    <fill>
      <patternFill patternType="solid">
        <fgColor theme="0" tint="-0.14996795556505021"/>
        <bgColor theme="0"/>
      </patternFill>
    </fill>
    <fill>
      <patternFill patternType="solid">
        <fgColor theme="0" tint="-0.24994659260841701"/>
        <bgColor indexed="64"/>
      </patternFill>
    </fill>
    <fill>
      <patternFill patternType="solid">
        <fgColor indexed="57"/>
      </patternFill>
    </fill>
    <fill>
      <patternFill patternType="solid">
        <fgColor theme="0" tint="-4.9989318521683403E-2"/>
        <bgColor indexed="64"/>
      </patternFill>
    </fill>
    <fill>
      <patternFill patternType="solid">
        <fgColor indexed="42"/>
        <bgColor indexed="64"/>
      </patternFill>
    </fill>
    <fill>
      <patternFill patternType="solid">
        <fgColor indexed="65"/>
        <bgColor indexed="64"/>
      </patternFill>
    </fill>
    <fill>
      <patternFill patternType="solid">
        <fgColor theme="4" tint="0.59999389629810485"/>
        <bgColor indexed="64"/>
      </patternFill>
    </fill>
    <fill>
      <patternFill patternType="solid">
        <fgColor rgb="FF00FF00"/>
        <bgColor indexed="64"/>
      </patternFill>
    </fill>
    <fill>
      <patternFill patternType="solid">
        <fgColor indexed="22"/>
      </patternFill>
    </fill>
    <fill>
      <patternFill patternType="solid">
        <fgColor rgb="FFFFFFFF"/>
        <bgColor indexed="64"/>
      </patternFill>
    </fill>
    <fill>
      <patternFill patternType="solid">
        <fgColor rgb="FFEBF1DE"/>
        <bgColor indexed="64"/>
      </patternFill>
    </fill>
    <fill>
      <patternFill patternType="solid">
        <fgColor rgb="FFFDE9D9"/>
        <bgColor indexed="64"/>
      </patternFill>
    </fill>
  </fills>
  <borders count="68">
    <border>
      <left/>
      <right/>
      <top/>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indexed="64"/>
      </top>
      <bottom/>
      <diagonal/>
    </border>
    <border>
      <left style="thin">
        <color auto="1"/>
      </left>
      <right style="medium">
        <color auto="1"/>
      </right>
      <top/>
      <bottom style="thin">
        <color auto="1"/>
      </bottom>
      <diagonal/>
    </border>
    <border>
      <left style="medium">
        <color auto="1"/>
      </left>
      <right/>
      <top/>
      <bottom/>
      <diagonal/>
    </border>
    <border>
      <left style="thin">
        <color indexed="64"/>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indexed="63"/>
      </left>
      <right style="thin">
        <color indexed="63"/>
      </right>
      <top style="thin">
        <color indexed="63"/>
      </top>
      <bottom style="thin">
        <color indexed="63"/>
      </bottom>
      <diagonal/>
    </border>
    <border>
      <left style="medium">
        <color auto="1"/>
      </left>
      <right/>
      <top/>
      <bottom style="thin">
        <color auto="1"/>
      </bottom>
      <diagonal/>
    </border>
    <border>
      <left style="thick">
        <color rgb="FF000000"/>
      </left>
      <right style="medium">
        <color rgb="FF999999"/>
      </right>
      <top style="thick">
        <color rgb="FF000000"/>
      </top>
      <bottom/>
      <diagonal/>
    </border>
    <border>
      <left/>
      <right style="medium">
        <color rgb="FF999999"/>
      </right>
      <top style="thick">
        <color rgb="FF000000"/>
      </top>
      <bottom/>
      <diagonal/>
    </border>
    <border>
      <left/>
      <right style="medium">
        <color rgb="FF999999"/>
      </right>
      <top style="thick">
        <color rgb="FF000000"/>
      </top>
      <bottom style="medium">
        <color rgb="FF999999"/>
      </bottom>
      <diagonal/>
    </border>
    <border>
      <left style="thick">
        <color rgb="FF000000"/>
      </left>
      <right style="medium">
        <color rgb="FF999999"/>
      </right>
      <top/>
      <bottom style="thick">
        <color rgb="FF000000"/>
      </bottom>
      <diagonal/>
    </border>
    <border>
      <left/>
      <right style="medium">
        <color rgb="FF999999"/>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ck">
        <color rgb="FF000000"/>
      </bottom>
      <diagonal/>
    </border>
    <border>
      <left/>
      <right/>
      <top/>
      <bottom style="thick">
        <color rgb="FF000000"/>
      </bottom>
      <diagonal/>
    </border>
    <border>
      <left style="medium">
        <color rgb="FF000000"/>
      </left>
      <right/>
      <top/>
      <bottom/>
      <diagonal/>
    </border>
    <border>
      <left/>
      <right style="medium">
        <color rgb="FF000000"/>
      </right>
      <top/>
      <bottom/>
      <diagonal/>
    </border>
    <border>
      <left/>
      <right style="medium">
        <color rgb="FF000000"/>
      </right>
      <top/>
      <bottom style="double">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medium">
        <color rgb="FF000000"/>
      </top>
      <bottom/>
      <diagonal/>
    </border>
    <border>
      <left/>
      <right/>
      <top style="thick">
        <color rgb="FF000000"/>
      </top>
      <bottom style="medium">
        <color rgb="FF000000"/>
      </bottom>
      <diagonal/>
    </border>
    <border>
      <left/>
      <right/>
      <top style="medium">
        <color rgb="FF000000"/>
      </top>
      <bottom style="double">
        <color rgb="FF000000"/>
      </bottom>
      <diagonal/>
    </border>
    <border>
      <left/>
      <right/>
      <top style="double">
        <color rgb="FF000000"/>
      </top>
      <bottom style="double">
        <color rgb="FF000000"/>
      </bottom>
      <diagonal/>
    </border>
    <border>
      <left/>
      <right style="medium">
        <color rgb="FF000000"/>
      </right>
      <top style="double">
        <color rgb="FF000000"/>
      </top>
      <bottom style="double">
        <color rgb="FF000000"/>
      </bottom>
      <diagonal/>
    </border>
    <border>
      <left style="medium">
        <color rgb="FF000000"/>
      </left>
      <right/>
      <top style="medium">
        <color rgb="FF000000"/>
      </top>
      <bottom/>
      <diagonal/>
    </border>
    <border>
      <left/>
      <right style="medium">
        <color rgb="FF000000"/>
      </right>
      <top style="medium">
        <color rgb="FF000000"/>
      </top>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44" fontId="1" fillId="0" borderId="0" applyFont="0" applyFill="0" applyBorder="0" applyAlignment="0" applyProtection="0"/>
    <xf numFmtId="0" fontId="13" fillId="3" borderId="0" applyNumberFormat="0" applyBorder="0" applyAlignment="0" applyProtection="0"/>
    <xf numFmtId="0" fontId="14" fillId="0" borderId="0"/>
    <xf numFmtId="0" fontId="17" fillId="0" borderId="0"/>
    <xf numFmtId="168" fontId="14" fillId="0" borderId="0" applyFont="0" applyFill="0" applyBorder="0" applyAlignment="0" applyProtection="0"/>
    <xf numFmtId="169" fontId="14" fillId="0" borderId="0" applyFont="0" applyFill="0" applyBorder="0" applyAlignment="0" applyProtection="0"/>
    <xf numFmtId="0" fontId="37" fillId="30" borderId="0" applyNumberFormat="0" applyBorder="0" applyAlignment="0" applyProtection="0"/>
    <xf numFmtId="0" fontId="37" fillId="36" borderId="0" applyNumberFormat="0" applyBorder="0" applyAlignment="0" applyProtection="0"/>
    <xf numFmtId="0" fontId="46" fillId="42" borderId="35" applyNumberFormat="0" applyAlignment="0" applyProtection="0"/>
    <xf numFmtId="44" fontId="43" fillId="0" borderId="0" applyFont="0" applyFill="0" applyBorder="0" applyAlignment="0" applyProtection="0"/>
    <xf numFmtId="0" fontId="67" fillId="0" borderId="0"/>
    <xf numFmtId="43" fontId="67" fillId="0" borderId="0" applyFont="0" applyFill="0" applyBorder="0" applyAlignment="0" applyProtection="0"/>
    <xf numFmtId="44" fontId="67" fillId="0" borderId="0" applyFont="0" applyFill="0" applyBorder="0" applyAlignment="0" applyProtection="0"/>
    <xf numFmtId="9" fontId="67" fillId="0" borderId="0" applyFont="0" applyFill="0" applyBorder="0" applyAlignment="0" applyProtection="0"/>
    <xf numFmtId="43" fontId="67" fillId="0" borderId="0" applyFont="0" applyFill="0" applyBorder="0" applyAlignment="0" applyProtection="0"/>
  </cellStyleXfs>
  <cellXfs count="426">
    <xf numFmtId="0" fontId="0" fillId="0" borderId="0" xfId="0"/>
    <xf numFmtId="164" fontId="0" fillId="0" borderId="0" xfId="1" applyNumberFormat="1" applyFont="1"/>
    <xf numFmtId="10" fontId="0" fillId="0" borderId="0" xfId="2" applyNumberFormat="1" applyFont="1"/>
    <xf numFmtId="164" fontId="0" fillId="0" borderId="0" xfId="1" applyNumberFormat="1" applyFont="1" applyAlignment="1">
      <alignment wrapText="1"/>
    </xf>
    <xf numFmtId="10" fontId="2" fillId="0" borderId="0" xfId="2" applyNumberFormat="1" applyFont="1" applyAlignment="1">
      <alignment wrapText="1"/>
    </xf>
    <xf numFmtId="0" fontId="0" fillId="0" borderId="0" xfId="0" applyAlignment="1">
      <alignment horizontal="right"/>
    </xf>
    <xf numFmtId="164" fontId="0" fillId="0" borderId="0" xfId="1" applyNumberFormat="1" applyFont="1" applyAlignment="1">
      <alignment horizontal="center" vertical="center"/>
    </xf>
    <xf numFmtId="164" fontId="3" fillId="2" borderId="0" xfId="1" applyNumberFormat="1" applyFont="1" applyFill="1" applyAlignment="1"/>
    <xf numFmtId="165" fontId="3" fillId="2" borderId="0" xfId="2" applyNumberFormat="1" applyFont="1" applyFill="1" applyAlignment="1"/>
    <xf numFmtId="0" fontId="0" fillId="0" borderId="0" xfId="0" applyAlignment="1">
      <alignment horizontal="left" vertical="top"/>
    </xf>
    <xf numFmtId="164" fontId="0" fillId="0" borderId="0" xfId="0" applyNumberFormat="1"/>
    <xf numFmtId="165" fontId="0" fillId="0" borderId="0" xfId="2" applyNumberFormat="1" applyFont="1"/>
    <xf numFmtId="0" fontId="4" fillId="0" borderId="0" xfId="0" applyFont="1"/>
    <xf numFmtId="164" fontId="4" fillId="0" borderId="0" xfId="0" applyNumberFormat="1" applyFont="1"/>
    <xf numFmtId="164" fontId="0" fillId="0" borderId="0" xfId="2" applyNumberFormat="1" applyFont="1"/>
    <xf numFmtId="0" fontId="4" fillId="0" borderId="0" xfId="0" applyFont="1" applyAlignment="1">
      <alignment horizontal="left" vertical="top"/>
    </xf>
    <xf numFmtId="0" fontId="7" fillId="0" borderId="0" xfId="0" applyFont="1" applyAlignment="1">
      <alignment horizontal="left" vertical="top"/>
    </xf>
    <xf numFmtId="164" fontId="7" fillId="0" borderId="0" xfId="1" applyNumberFormat="1" applyFont="1" applyAlignment="1">
      <alignment vertical="top"/>
    </xf>
    <xf numFmtId="164" fontId="6" fillId="0" borderId="0" xfId="1" applyNumberFormat="1" applyFont="1"/>
    <xf numFmtId="0" fontId="6" fillId="0" borderId="0" xfId="0" applyFont="1"/>
    <xf numFmtId="0" fontId="6" fillId="0" borderId="0" xfId="0" applyFont="1" applyAlignment="1">
      <alignment horizontal="right"/>
    </xf>
    <xf numFmtId="9" fontId="4" fillId="0" borderId="0" xfId="2" applyFont="1" applyAlignment="1">
      <alignment horizontal="center" vertical="center"/>
    </xf>
    <xf numFmtId="0" fontId="8" fillId="0" borderId="0" xfId="0" applyFont="1" applyAlignment="1">
      <alignment horizontal="center" vertical="center" wrapText="1"/>
    </xf>
    <xf numFmtId="164" fontId="0" fillId="0" borderId="1" xfId="1" applyNumberFormat="1" applyFont="1" applyBorder="1" applyAlignment="1">
      <alignment horizontal="center" vertical="center"/>
    </xf>
    <xf numFmtId="164" fontId="6" fillId="0" borderId="2" xfId="2" applyNumberFormat="1" applyFont="1" applyBorder="1"/>
    <xf numFmtId="0" fontId="9" fillId="0" borderId="0" xfId="0" applyFont="1" applyAlignment="1">
      <alignment horizontal="right"/>
    </xf>
    <xf numFmtId="0" fontId="9" fillId="0" borderId="0" xfId="0" applyFont="1"/>
    <xf numFmtId="10" fontId="10" fillId="0" borderId="8" xfId="0" applyNumberFormat="1" applyFont="1" applyBorder="1" applyAlignment="1">
      <alignment horizontal="center" vertical="center" wrapText="1"/>
    </xf>
    <xf numFmtId="0" fontId="4" fillId="0" borderId="0" xfId="0" applyFont="1" applyAlignment="1">
      <alignment horizontal="left"/>
    </xf>
    <xf numFmtId="164" fontId="3" fillId="0" borderId="0" xfId="1" applyNumberFormat="1" applyFont="1" applyFill="1" applyAlignment="1"/>
    <xf numFmtId="43" fontId="0" fillId="0" borderId="0" xfId="1" applyFont="1"/>
    <xf numFmtId="166" fontId="0" fillId="0" borderId="0" xfId="1" applyNumberFormat="1" applyFont="1"/>
    <xf numFmtId="164" fontId="0" fillId="0" borderId="9" xfId="1" applyNumberFormat="1" applyFont="1" applyBorder="1"/>
    <xf numFmtId="164" fontId="0" fillId="0" borderId="1" xfId="1" applyNumberFormat="1" applyFont="1" applyBorder="1"/>
    <xf numFmtId="164" fontId="9" fillId="0" borderId="7" xfId="1" applyNumberFormat="1" applyFont="1" applyBorder="1" applyAlignment="1">
      <alignment horizontal="left" vertical="center" indent="1"/>
    </xf>
    <xf numFmtId="164" fontId="6" fillId="0" borderId="0" xfId="1" applyNumberFormat="1" applyFont="1" applyAlignment="1">
      <alignment horizontal="center" vertical="center"/>
    </xf>
    <xf numFmtId="0" fontId="14" fillId="0" borderId="0" xfId="6"/>
    <xf numFmtId="0" fontId="15" fillId="0" borderId="0" xfId="6" applyFont="1"/>
    <xf numFmtId="10" fontId="14" fillId="0" borderId="0" xfId="6" applyNumberFormat="1"/>
    <xf numFmtId="0" fontId="16" fillId="0" borderId="0" xfId="6" applyFont="1"/>
    <xf numFmtId="0" fontId="18" fillId="0" borderId="0" xfId="7" applyFont="1"/>
    <xf numFmtId="10" fontId="16" fillId="0" borderId="0" xfId="6" applyNumberFormat="1" applyFont="1"/>
    <xf numFmtId="0" fontId="3" fillId="0" borderId="0" xfId="6" applyFont="1"/>
    <xf numFmtId="10" fontId="3" fillId="4" borderId="10" xfId="6" applyNumberFormat="1" applyFont="1" applyFill="1" applyBorder="1"/>
    <xf numFmtId="0" fontId="20" fillId="0" borderId="0" xfId="6" applyFont="1" applyAlignment="1">
      <alignment horizontal="center"/>
    </xf>
    <xf numFmtId="0" fontId="7" fillId="0" borderId="0" xfId="6" applyFont="1"/>
    <xf numFmtId="0" fontId="21" fillId="0" borderId="11" xfId="6" applyFont="1" applyBorder="1" applyAlignment="1">
      <alignment horizontal="center" wrapText="1"/>
    </xf>
    <xf numFmtId="0" fontId="23" fillId="0" borderId="0" xfId="6" applyFont="1" applyAlignment="1">
      <alignment horizontal="center" wrapText="1"/>
    </xf>
    <xf numFmtId="0" fontId="23" fillId="0" borderId="0" xfId="6" applyFont="1" applyAlignment="1">
      <alignment horizontal="left" wrapText="1"/>
    </xf>
    <xf numFmtId="0" fontId="24" fillId="0" borderId="13" xfId="6" applyFont="1" applyBorder="1"/>
    <xf numFmtId="0" fontId="3" fillId="0" borderId="16" xfId="6" applyFont="1" applyBorder="1"/>
    <xf numFmtId="3" fontId="3" fillId="0" borderId="0" xfId="6" applyNumberFormat="1" applyFont="1"/>
    <xf numFmtId="3" fontId="7" fillId="6" borderId="17" xfId="6" applyNumberFormat="1" applyFont="1" applyFill="1" applyBorder="1" applyAlignment="1">
      <alignment horizontal="center"/>
    </xf>
    <xf numFmtId="3" fontId="7" fillId="6" borderId="18" xfId="6" applyNumberFormat="1" applyFont="1" applyFill="1" applyBorder="1" applyAlignment="1">
      <alignment horizontal="center"/>
    </xf>
    <xf numFmtId="0" fontId="7" fillId="6" borderId="18" xfId="6" applyFont="1" applyFill="1" applyBorder="1" applyAlignment="1">
      <alignment horizontal="center"/>
    </xf>
    <xf numFmtId="0" fontId="3" fillId="0" borderId="13" xfId="6" applyFont="1" applyBorder="1"/>
    <xf numFmtId="0" fontId="25" fillId="0" borderId="0" xfId="6" applyFont="1"/>
    <xf numFmtId="0" fontId="16" fillId="7" borderId="11" xfId="6" applyFont="1" applyFill="1" applyBorder="1" applyAlignment="1">
      <alignment horizontal="center" vertical="center"/>
    </xf>
    <xf numFmtId="0" fontId="23" fillId="8" borderId="11" xfId="6" applyFont="1" applyFill="1" applyBorder="1" applyAlignment="1">
      <alignment horizontal="center" vertical="center"/>
    </xf>
    <xf numFmtId="10" fontId="26" fillId="8" borderId="11" xfId="6" applyNumberFormat="1" applyFont="1" applyFill="1" applyBorder="1" applyAlignment="1">
      <alignment horizontal="center" vertical="center" wrapText="1"/>
    </xf>
    <xf numFmtId="10" fontId="23" fillId="9" borderId="11" xfId="6" applyNumberFormat="1" applyFont="1" applyFill="1" applyBorder="1" applyAlignment="1">
      <alignment horizontal="center" vertical="center" wrapText="1"/>
    </xf>
    <xf numFmtId="0" fontId="27" fillId="7" borderId="14" xfId="6" applyFont="1" applyFill="1" applyBorder="1" applyAlignment="1">
      <alignment horizontal="center" vertical="center"/>
    </xf>
    <xf numFmtId="0" fontId="27" fillId="6" borderId="14" xfId="6" applyFont="1" applyFill="1" applyBorder="1" applyAlignment="1">
      <alignment horizontal="center"/>
    </xf>
    <xf numFmtId="0" fontId="27" fillId="6" borderId="19" xfId="6" applyFont="1" applyFill="1" applyBorder="1" applyAlignment="1">
      <alignment horizontal="center"/>
    </xf>
    <xf numFmtId="0" fontId="3" fillId="10" borderId="14" xfId="6" applyFont="1" applyFill="1" applyBorder="1"/>
    <xf numFmtId="0" fontId="3" fillId="0" borderId="11" xfId="6" applyFont="1" applyBorder="1"/>
    <xf numFmtId="0" fontId="28" fillId="0" borderId="20" xfId="6" applyFont="1" applyBorder="1" applyAlignment="1">
      <alignment horizontal="center"/>
    </xf>
    <xf numFmtId="167" fontId="29" fillId="8" borderId="20" xfId="6" applyNumberFormat="1" applyFont="1" applyFill="1" applyBorder="1" applyAlignment="1">
      <alignment horizontal="right"/>
    </xf>
    <xf numFmtId="9" fontId="3" fillId="8" borderId="14" xfId="6" applyNumberFormat="1" applyFont="1" applyFill="1" applyBorder="1" applyAlignment="1">
      <alignment horizontal="right"/>
    </xf>
    <xf numFmtId="10" fontId="3" fillId="11" borderId="20" xfId="6" applyNumberFormat="1" applyFont="1" applyFill="1" applyBorder="1" applyAlignment="1">
      <alignment horizontal="right"/>
    </xf>
    <xf numFmtId="167" fontId="3" fillId="0" borderId="14" xfId="6" applyNumberFormat="1" applyFont="1" applyBorder="1"/>
    <xf numFmtId="167" fontId="7" fillId="0" borderId="14" xfId="8" applyNumberFormat="1" applyFont="1" applyBorder="1"/>
    <xf numFmtId="167" fontId="3" fillId="12" borderId="14" xfId="6" applyNumberFormat="1" applyFont="1" applyFill="1" applyBorder="1"/>
    <xf numFmtId="167" fontId="7" fillId="12" borderId="14" xfId="8" applyNumberFormat="1" applyFont="1" applyFill="1" applyBorder="1"/>
    <xf numFmtId="167" fontId="14" fillId="0" borderId="0" xfId="6" applyNumberFormat="1"/>
    <xf numFmtId="0" fontId="3" fillId="0" borderId="18" xfId="6" applyFont="1" applyBorder="1"/>
    <xf numFmtId="0" fontId="3" fillId="13" borderId="14" xfId="6" applyFont="1" applyFill="1" applyBorder="1"/>
    <xf numFmtId="0" fontId="3" fillId="14" borderId="11" xfId="6" applyFont="1" applyFill="1" applyBorder="1"/>
    <xf numFmtId="0" fontId="28" fillId="14" borderId="20" xfId="6" applyFont="1" applyFill="1" applyBorder="1" applyAlignment="1">
      <alignment horizontal="center"/>
    </xf>
    <xf numFmtId="9" fontId="3" fillId="15" borderId="11" xfId="6" applyNumberFormat="1" applyFont="1" applyFill="1" applyBorder="1" applyAlignment="1">
      <alignment horizontal="right"/>
    </xf>
    <xf numFmtId="167" fontId="3" fillId="14" borderId="14" xfId="6" applyNumberFormat="1" applyFont="1" applyFill="1" applyBorder="1"/>
    <xf numFmtId="167" fontId="3" fillId="12" borderId="16" xfId="6" applyNumberFormat="1" applyFont="1" applyFill="1" applyBorder="1"/>
    <xf numFmtId="0" fontId="28" fillId="16" borderId="21" xfId="6" applyFont="1" applyFill="1" applyBorder="1" applyAlignment="1">
      <alignment horizontal="centerContinuous"/>
    </xf>
    <xf numFmtId="0" fontId="28" fillId="17" borderId="10" xfId="6" applyFont="1" applyFill="1" applyBorder="1" applyAlignment="1">
      <alignment horizontal="centerContinuous"/>
    </xf>
    <xf numFmtId="0" fontId="3" fillId="17" borderId="10" xfId="6" applyFont="1" applyFill="1" applyBorder="1" applyAlignment="1">
      <alignment horizontal="centerContinuous"/>
    </xf>
    <xf numFmtId="10" fontId="7" fillId="17" borderId="10" xfId="6" applyNumberFormat="1" applyFont="1" applyFill="1" applyBorder="1" applyAlignment="1">
      <alignment horizontal="centerContinuous"/>
    </xf>
    <xf numFmtId="167" fontId="7" fillId="18" borderId="16" xfId="8" applyNumberFormat="1" applyFont="1" applyFill="1" applyBorder="1"/>
    <xf numFmtId="167" fontId="7" fillId="18" borderId="14" xfId="8" applyNumberFormat="1" applyFont="1" applyFill="1" applyBorder="1"/>
    <xf numFmtId="167" fontId="7" fillId="19" borderId="16" xfId="8" applyNumberFormat="1" applyFont="1" applyFill="1" applyBorder="1"/>
    <xf numFmtId="0" fontId="17" fillId="0" borderId="0" xfId="7"/>
    <xf numFmtId="0" fontId="30" fillId="0" borderId="0" xfId="7" applyFont="1"/>
    <xf numFmtId="0" fontId="3" fillId="20" borderId="14" xfId="6" applyFont="1" applyFill="1" applyBorder="1"/>
    <xf numFmtId="167" fontId="3" fillId="14" borderId="16" xfId="6" applyNumberFormat="1" applyFont="1" applyFill="1" applyBorder="1"/>
    <xf numFmtId="3" fontId="3" fillId="14" borderId="19" xfId="9" applyNumberFormat="1" applyFont="1" applyFill="1" applyBorder="1"/>
    <xf numFmtId="0" fontId="25" fillId="0" borderId="13" xfId="6" applyFont="1" applyBorder="1"/>
    <xf numFmtId="0" fontId="3" fillId="0" borderId="10" xfId="6" applyFont="1" applyBorder="1"/>
    <xf numFmtId="10" fontId="3" fillId="0" borderId="10" xfId="6" applyNumberFormat="1" applyFont="1" applyBorder="1"/>
    <xf numFmtId="10" fontId="3" fillId="0" borderId="0" xfId="6" applyNumberFormat="1" applyFont="1"/>
    <xf numFmtId="3" fontId="3" fillId="0" borderId="18" xfId="8" applyNumberFormat="1" applyFont="1" applyBorder="1"/>
    <xf numFmtId="168" fontId="3" fillId="0" borderId="11" xfId="8" applyFont="1" applyBorder="1"/>
    <xf numFmtId="3" fontId="3" fillId="6" borderId="18" xfId="8" applyNumberFormat="1" applyFont="1" applyFill="1" applyBorder="1"/>
    <xf numFmtId="168" fontId="3" fillId="6" borderId="11" xfId="8" applyFont="1" applyFill="1" applyBorder="1"/>
    <xf numFmtId="0" fontId="31" fillId="5" borderId="14" xfId="6" applyFont="1" applyFill="1" applyBorder="1" applyAlignment="1">
      <alignment horizontal="center" vertical="center"/>
    </xf>
    <xf numFmtId="10" fontId="32" fillId="5" borderId="14" xfId="6" applyNumberFormat="1" applyFont="1" applyFill="1" applyBorder="1" applyAlignment="1">
      <alignment horizontal="center" vertical="center"/>
    </xf>
    <xf numFmtId="0" fontId="20" fillId="5" borderId="21" xfId="6" applyFont="1" applyFill="1" applyBorder="1" applyAlignment="1">
      <alignment horizontal="center" vertical="center"/>
    </xf>
    <xf numFmtId="0" fontId="20" fillId="7" borderId="21" xfId="6" applyFont="1" applyFill="1" applyBorder="1" applyAlignment="1">
      <alignment horizontal="center" vertical="center"/>
    </xf>
    <xf numFmtId="0" fontId="20" fillId="9" borderId="21" xfId="6" applyFont="1" applyFill="1" applyBorder="1" applyAlignment="1">
      <alignment horizontal="center"/>
    </xf>
    <xf numFmtId="0" fontId="33" fillId="5" borderId="21" xfId="6" applyFont="1" applyFill="1" applyBorder="1" applyAlignment="1">
      <alignment horizontal="center"/>
    </xf>
    <xf numFmtId="0" fontId="14" fillId="5" borderId="22" xfId="6" applyFill="1" applyBorder="1"/>
    <xf numFmtId="0" fontId="14" fillId="22" borderId="16" xfId="6" applyFill="1" applyBorder="1"/>
    <xf numFmtId="0" fontId="14" fillId="22" borderId="0" xfId="6" applyFill="1"/>
    <xf numFmtId="168" fontId="3" fillId="6" borderId="18" xfId="8" applyFont="1" applyFill="1" applyBorder="1"/>
    <xf numFmtId="0" fontId="14" fillId="0" borderId="14" xfId="6" applyBorder="1"/>
    <xf numFmtId="10" fontId="34" fillId="0" borderId="14" xfId="6" applyNumberFormat="1" applyFont="1" applyBorder="1" applyAlignment="1">
      <alignment horizontal="center"/>
    </xf>
    <xf numFmtId="165" fontId="35" fillId="0" borderId="21" xfId="6" applyNumberFormat="1" applyFont="1" applyBorder="1" applyAlignment="1">
      <alignment horizontal="center"/>
    </xf>
    <xf numFmtId="165" fontId="16" fillId="23" borderId="21" xfId="6" applyNumberFormat="1" applyFont="1" applyFill="1" applyBorder="1" applyAlignment="1">
      <alignment horizontal="center"/>
    </xf>
    <xf numFmtId="165" fontId="16" fillId="24" borderId="21" xfId="6" applyNumberFormat="1" applyFont="1" applyFill="1" applyBorder="1" applyAlignment="1">
      <alignment horizontal="center"/>
    </xf>
    <xf numFmtId="167" fontId="3" fillId="25" borderId="14" xfId="8" applyNumberFormat="1" applyFont="1" applyFill="1" applyBorder="1"/>
    <xf numFmtId="167" fontId="7" fillId="25" borderId="14" xfId="8" applyNumberFormat="1" applyFont="1" applyFill="1" applyBorder="1"/>
    <xf numFmtId="167" fontId="3" fillId="26" borderId="14" xfId="8" applyNumberFormat="1" applyFont="1" applyFill="1" applyBorder="1"/>
    <xf numFmtId="167" fontId="7" fillId="26" borderId="14" xfId="8" applyNumberFormat="1" applyFont="1" applyFill="1" applyBorder="1"/>
    <xf numFmtId="0" fontId="36" fillId="0" borderId="13" xfId="6" applyFont="1" applyBorder="1"/>
    <xf numFmtId="167" fontId="3" fillId="27" borderId="16" xfId="8" applyNumberFormat="1" applyFont="1" applyFill="1" applyBorder="1"/>
    <xf numFmtId="167" fontId="3" fillId="28" borderId="14" xfId="8" applyNumberFormat="1" applyFont="1" applyFill="1" applyBorder="1"/>
    <xf numFmtId="167" fontId="3" fillId="28" borderId="16" xfId="8" applyNumberFormat="1" applyFont="1" applyFill="1" applyBorder="1"/>
    <xf numFmtId="0" fontId="28" fillId="17" borderId="15" xfId="6" applyFont="1" applyFill="1" applyBorder="1" applyAlignment="1">
      <alignment horizontal="centerContinuous"/>
    </xf>
    <xf numFmtId="167" fontId="7" fillId="29" borderId="14" xfId="8" applyNumberFormat="1" applyFont="1" applyFill="1" applyBorder="1"/>
    <xf numFmtId="0" fontId="28" fillId="0" borderId="0" xfId="6" applyFont="1" applyAlignment="1">
      <alignment horizontal="centerContinuous"/>
    </xf>
    <xf numFmtId="167" fontId="7" fillId="4" borderId="16" xfId="8" applyNumberFormat="1" applyFont="1" applyFill="1" applyBorder="1"/>
    <xf numFmtId="167" fontId="7" fillId="4" borderId="14" xfId="8" applyNumberFormat="1" applyFont="1" applyFill="1" applyBorder="1"/>
    <xf numFmtId="0" fontId="38" fillId="0" borderId="0" xfId="10" applyFont="1" applyFill="1" applyAlignment="1">
      <alignment horizontal="left"/>
    </xf>
    <xf numFmtId="0" fontId="39" fillId="0" borderId="0" xfId="10" applyFont="1" applyFill="1" applyAlignment="1">
      <alignment horizontal="left"/>
    </xf>
    <xf numFmtId="0" fontId="37" fillId="0" borderId="0" xfId="10" applyFill="1"/>
    <xf numFmtId="0" fontId="3" fillId="0" borderId="0" xfId="6" applyFont="1" applyAlignment="1">
      <alignment horizontal="centerContinuous"/>
    </xf>
    <xf numFmtId="10" fontId="3" fillId="0" borderId="0" xfId="6" applyNumberFormat="1" applyFont="1" applyAlignment="1">
      <alignment horizontal="centerContinuous"/>
    </xf>
    <xf numFmtId="168" fontId="3" fillId="0" borderId="18" xfId="8" applyFont="1" applyBorder="1"/>
    <xf numFmtId="168" fontId="3" fillId="0" borderId="20" xfId="8" applyFont="1" applyBorder="1"/>
    <xf numFmtId="168" fontId="3" fillId="6" borderId="20" xfId="8" applyFont="1" applyFill="1" applyBorder="1"/>
    <xf numFmtId="168" fontId="7" fillId="6" borderId="20" xfId="8" applyFont="1" applyFill="1" applyBorder="1"/>
    <xf numFmtId="0" fontId="39" fillId="0" borderId="0" xfId="10" applyFont="1" applyFill="1"/>
    <xf numFmtId="0" fontId="3" fillId="0" borderId="14" xfId="6" applyFont="1" applyBorder="1"/>
    <xf numFmtId="167" fontId="3" fillId="0" borderId="16" xfId="8" applyNumberFormat="1" applyFont="1" applyBorder="1"/>
    <xf numFmtId="167" fontId="7" fillId="0" borderId="22" xfId="8" applyNumberFormat="1" applyFont="1" applyBorder="1"/>
    <xf numFmtId="167" fontId="3" fillId="6" borderId="16" xfId="8" applyNumberFormat="1" applyFont="1" applyFill="1" applyBorder="1"/>
    <xf numFmtId="167" fontId="3" fillId="6" borderId="22" xfId="8" applyNumberFormat="1" applyFont="1" applyFill="1" applyBorder="1"/>
    <xf numFmtId="167" fontId="7" fillId="6" borderId="22" xfId="8" applyNumberFormat="1" applyFont="1" applyFill="1" applyBorder="1"/>
    <xf numFmtId="0" fontId="40" fillId="0" borderId="0" xfId="0" applyFont="1"/>
    <xf numFmtId="0" fontId="41" fillId="0" borderId="0" xfId="0" applyFont="1"/>
    <xf numFmtId="167" fontId="3" fillId="6" borderId="14" xfId="8" applyNumberFormat="1" applyFont="1" applyFill="1" applyBorder="1"/>
    <xf numFmtId="170" fontId="40" fillId="0" borderId="0" xfId="0" applyNumberFormat="1" applyFont="1"/>
    <xf numFmtId="42" fontId="40" fillId="0" borderId="0" xfId="0" applyNumberFormat="1" applyFont="1"/>
    <xf numFmtId="167" fontId="40" fillId="0" borderId="0" xfId="0" applyNumberFormat="1" applyFont="1"/>
    <xf numFmtId="0" fontId="3" fillId="0" borderId="10" xfId="6" applyFont="1" applyBorder="1" applyAlignment="1">
      <alignment vertical="center"/>
    </xf>
    <xf numFmtId="10" fontId="3" fillId="0" borderId="10" xfId="6" applyNumberFormat="1" applyFont="1" applyBorder="1" applyAlignment="1">
      <alignment vertical="center"/>
    </xf>
    <xf numFmtId="44" fontId="40" fillId="0" borderId="0" xfId="4" applyFont="1"/>
    <xf numFmtId="0" fontId="3" fillId="33" borderId="16" xfId="6" applyFont="1" applyFill="1" applyBorder="1"/>
    <xf numFmtId="0" fontId="3" fillId="33" borderId="10" xfId="6" applyFont="1" applyFill="1" applyBorder="1"/>
    <xf numFmtId="10" fontId="3" fillId="33" borderId="10" xfId="6" applyNumberFormat="1" applyFont="1" applyFill="1" applyBorder="1"/>
    <xf numFmtId="167" fontId="3" fillId="14" borderId="14" xfId="8" applyNumberFormat="1" applyFont="1" applyFill="1" applyBorder="1"/>
    <xf numFmtId="167" fontId="3" fillId="34" borderId="14" xfId="8" applyNumberFormat="1" applyFont="1" applyFill="1" applyBorder="1"/>
    <xf numFmtId="167" fontId="3" fillId="0" borderId="10" xfId="6" applyNumberFormat="1" applyFont="1" applyBorder="1"/>
    <xf numFmtId="167" fontId="3" fillId="0" borderId="14" xfId="8" applyNumberFormat="1" applyFont="1" applyBorder="1"/>
    <xf numFmtId="0" fontId="3" fillId="31" borderId="15" xfId="6" applyFont="1" applyFill="1" applyBorder="1"/>
    <xf numFmtId="0" fontId="3" fillId="31" borderId="10" xfId="6" applyFont="1" applyFill="1" applyBorder="1"/>
    <xf numFmtId="10" fontId="3" fillId="31" borderId="10" xfId="6" applyNumberFormat="1" applyFont="1" applyFill="1" applyBorder="1"/>
    <xf numFmtId="167" fontId="3" fillId="31" borderId="16" xfId="8" applyNumberFormat="1" applyFont="1" applyFill="1" applyBorder="1"/>
    <xf numFmtId="167" fontId="7" fillId="31" borderId="16" xfId="8" applyNumberFormat="1" applyFont="1" applyFill="1" applyBorder="1"/>
    <xf numFmtId="167" fontId="3" fillId="35" borderId="16" xfId="8" applyNumberFormat="1" applyFont="1" applyFill="1" applyBorder="1"/>
    <xf numFmtId="167" fontId="7" fillId="35" borderId="16" xfId="8" applyNumberFormat="1" applyFont="1" applyFill="1" applyBorder="1"/>
    <xf numFmtId="0" fontId="14" fillId="28" borderId="0" xfId="6" applyFill="1"/>
    <xf numFmtId="0" fontId="37" fillId="36" borderId="10" xfId="11" applyBorder="1"/>
    <xf numFmtId="10" fontId="37" fillId="36" borderId="10" xfId="11" applyNumberFormat="1" applyBorder="1"/>
    <xf numFmtId="167" fontId="37" fillId="36" borderId="16" xfId="11" applyNumberFormat="1" applyBorder="1"/>
    <xf numFmtId="167" fontId="3" fillId="37" borderId="16" xfId="8" applyNumberFormat="1" applyFont="1" applyFill="1" applyBorder="1"/>
    <xf numFmtId="42" fontId="40" fillId="0" borderId="0" xfId="2" applyNumberFormat="1" applyFont="1"/>
    <xf numFmtId="0" fontId="3" fillId="0" borderId="15" xfId="6" applyFont="1" applyBorder="1"/>
    <xf numFmtId="167" fontId="7" fillId="0" borderId="16" xfId="8" applyNumberFormat="1" applyFont="1" applyBorder="1"/>
    <xf numFmtId="0" fontId="40" fillId="0" borderId="0" xfId="0" applyFont="1" applyAlignment="1">
      <alignment horizontal="right"/>
    </xf>
    <xf numFmtId="170" fontId="44" fillId="0" borderId="0" xfId="0" applyNumberFormat="1" applyFont="1"/>
    <xf numFmtId="10" fontId="3" fillId="17" borderId="10" xfId="6" applyNumberFormat="1" applyFont="1" applyFill="1" applyBorder="1" applyAlignment="1">
      <alignment horizontal="centerContinuous"/>
    </xf>
    <xf numFmtId="167" fontId="7" fillId="38" borderId="16" xfId="8" applyNumberFormat="1" applyFont="1" applyFill="1" applyBorder="1"/>
    <xf numFmtId="0" fontId="28" fillId="0" borderId="23" xfId="6" applyFont="1" applyBorder="1"/>
    <xf numFmtId="0" fontId="3" fillId="0" borderId="12" xfId="6" applyFont="1" applyBorder="1"/>
    <xf numFmtId="9" fontId="3" fillId="0" borderId="12" xfId="6" applyNumberFormat="1" applyFont="1" applyBorder="1"/>
    <xf numFmtId="9" fontId="3" fillId="0" borderId="0" xfId="6" applyNumberFormat="1" applyFont="1"/>
    <xf numFmtId="171" fontId="3" fillId="0" borderId="0" xfId="6" applyNumberFormat="1" applyFont="1"/>
    <xf numFmtId="167" fontId="3" fillId="28" borderId="18" xfId="8" applyNumberFormat="1" applyFont="1" applyFill="1" applyBorder="1"/>
    <xf numFmtId="0" fontId="28" fillId="0" borderId="0" xfId="6" applyFont="1"/>
    <xf numFmtId="167" fontId="20" fillId="39" borderId="27" xfId="8" applyNumberFormat="1" applyFont="1" applyFill="1" applyBorder="1"/>
    <xf numFmtId="167" fontId="20" fillId="39" borderId="28" xfId="8" applyNumberFormat="1" applyFont="1" applyFill="1" applyBorder="1"/>
    <xf numFmtId="0" fontId="41" fillId="0" borderId="29" xfId="0" applyFont="1" applyBorder="1"/>
    <xf numFmtId="0" fontId="6" fillId="22" borderId="14" xfId="0" applyFont="1" applyFill="1" applyBorder="1" applyAlignment="1">
      <alignment horizontal="center"/>
    </xf>
    <xf numFmtId="167" fontId="20" fillId="40" borderId="16" xfId="8" applyNumberFormat="1" applyFont="1" applyFill="1" applyBorder="1"/>
    <xf numFmtId="167" fontId="20" fillId="40" borderId="30" xfId="8" applyNumberFormat="1" applyFont="1" applyFill="1" applyBorder="1"/>
    <xf numFmtId="167" fontId="7" fillId="22" borderId="22" xfId="8" applyNumberFormat="1" applyFont="1" applyFill="1" applyBorder="1"/>
    <xf numFmtId="167" fontId="7" fillId="22" borderId="16" xfId="8" applyNumberFormat="1" applyFont="1" applyFill="1" applyBorder="1"/>
    <xf numFmtId="0" fontId="40" fillId="0" borderId="31" xfId="0" applyFont="1" applyBorder="1"/>
    <xf numFmtId="9" fontId="0" fillId="0" borderId="14" xfId="0" applyNumberFormat="1" applyBorder="1" applyAlignment="1" applyProtection="1">
      <alignment horizontal="center"/>
      <protection hidden="1"/>
    </xf>
    <xf numFmtId="0" fontId="0" fillId="0" borderId="14" xfId="0" applyBorder="1" applyAlignment="1" applyProtection="1">
      <alignment horizontal="center"/>
      <protection hidden="1"/>
    </xf>
    <xf numFmtId="171" fontId="0" fillId="0" borderId="14" xfId="0" applyNumberFormat="1" applyBorder="1" applyAlignment="1" applyProtection="1">
      <alignment horizontal="center"/>
      <protection hidden="1"/>
    </xf>
    <xf numFmtId="0" fontId="7" fillId="41" borderId="15" xfId="6" applyFont="1" applyFill="1" applyBorder="1" applyAlignment="1">
      <alignment horizontal="center"/>
    </xf>
    <xf numFmtId="10" fontId="7" fillId="41" borderId="14" xfId="6" applyNumberFormat="1" applyFont="1" applyFill="1" applyBorder="1"/>
    <xf numFmtId="0" fontId="7" fillId="41" borderId="19" xfId="6" applyFont="1" applyFill="1" applyBorder="1" applyAlignment="1">
      <alignment horizontal="center"/>
    </xf>
    <xf numFmtId="167" fontId="16" fillId="41" borderId="16" xfId="8" applyNumberFormat="1" applyFont="1" applyFill="1" applyBorder="1"/>
    <xf numFmtId="167" fontId="16" fillId="41" borderId="30" xfId="8" applyNumberFormat="1" applyFont="1" applyFill="1" applyBorder="1"/>
    <xf numFmtId="0" fontId="21" fillId="0" borderId="0" xfId="6" applyFont="1"/>
    <xf numFmtId="167" fontId="20" fillId="4" borderId="34" xfId="8" applyNumberFormat="1" applyFont="1" applyFill="1" applyBorder="1"/>
    <xf numFmtId="167" fontId="3" fillId="6" borderId="21" xfId="8" applyNumberFormat="1" applyFont="1" applyFill="1" applyBorder="1"/>
    <xf numFmtId="0" fontId="46" fillId="0" borderId="0" xfId="12" applyFill="1" applyBorder="1"/>
    <xf numFmtId="0" fontId="40" fillId="0" borderId="36" xfId="0" applyFont="1" applyBorder="1"/>
    <xf numFmtId="0" fontId="14" fillId="9" borderId="13" xfId="6" applyFill="1" applyBorder="1"/>
    <xf numFmtId="10" fontId="14" fillId="9" borderId="0" xfId="6" applyNumberFormat="1" applyFill="1"/>
    <xf numFmtId="0" fontId="14" fillId="9" borderId="0" xfId="6" applyFill="1"/>
    <xf numFmtId="9" fontId="0" fillId="0" borderId="14" xfId="0" applyNumberFormat="1" applyBorder="1" applyAlignment="1">
      <alignment horizontal="center"/>
    </xf>
    <xf numFmtId="0" fontId="0" fillId="0" borderId="14" xfId="0" applyBorder="1" applyAlignment="1">
      <alignment horizontal="center"/>
    </xf>
    <xf numFmtId="171" fontId="0" fillId="0" borderId="14" xfId="0" applyNumberFormat="1" applyBorder="1" applyAlignment="1">
      <alignment horizontal="center"/>
    </xf>
    <xf numFmtId="167" fontId="20" fillId="0" borderId="14" xfId="6" applyNumberFormat="1" applyFont="1" applyBorder="1"/>
    <xf numFmtId="167" fontId="16" fillId="41" borderId="14" xfId="8" applyNumberFormat="1" applyFont="1" applyFill="1" applyBorder="1"/>
    <xf numFmtId="9" fontId="0" fillId="0" borderId="0" xfId="0" applyNumberFormat="1" applyAlignment="1">
      <alignment horizontal="center"/>
    </xf>
    <xf numFmtId="0" fontId="0" fillId="0" borderId="0" xfId="0" applyAlignment="1">
      <alignment horizontal="center"/>
    </xf>
    <xf numFmtId="171" fontId="0" fillId="0" borderId="0" xfId="0" applyNumberFormat="1" applyAlignment="1">
      <alignment horizontal="center"/>
    </xf>
    <xf numFmtId="0" fontId="47" fillId="0" borderId="0" xfId="6" applyFont="1"/>
    <xf numFmtId="0" fontId="40" fillId="0" borderId="6" xfId="0" applyFont="1" applyBorder="1"/>
    <xf numFmtId="0" fontId="48" fillId="0" borderId="0" xfId="0" applyFont="1" applyAlignment="1">
      <alignment horizontal="left" vertical="top"/>
    </xf>
    <xf numFmtId="0" fontId="49" fillId="0" borderId="0" xfId="6" applyFont="1" applyAlignment="1">
      <alignment horizontal="left" vertical="top"/>
    </xf>
    <xf numFmtId="170" fontId="49" fillId="0" borderId="0" xfId="13" applyNumberFormat="1" applyFont="1" applyAlignment="1">
      <alignment horizontal="left" vertical="top"/>
    </xf>
    <xf numFmtId="170" fontId="49" fillId="0" borderId="0" xfId="6" applyNumberFormat="1" applyFont="1" applyAlignment="1">
      <alignment horizontal="left" vertical="top"/>
    </xf>
    <xf numFmtId="0" fontId="50" fillId="0" borderId="0" xfId="0" applyFont="1" applyAlignment="1">
      <alignment horizontal="center"/>
    </xf>
    <xf numFmtId="0" fontId="43" fillId="0" borderId="0" xfId="0" applyFont="1"/>
    <xf numFmtId="44" fontId="0" fillId="0" borderId="0" xfId="13" applyFont="1"/>
    <xf numFmtId="0" fontId="0" fillId="0" borderId="10" xfId="0" applyBorder="1"/>
    <xf numFmtId="44" fontId="13" fillId="3" borderId="14" xfId="5" applyNumberFormat="1" applyBorder="1"/>
    <xf numFmtId="0" fontId="51" fillId="0" borderId="0" xfId="0" applyFont="1"/>
    <xf numFmtId="0" fontId="0" fillId="0" borderId="0" xfId="0" applyAlignment="1">
      <alignment vertical="center"/>
    </xf>
    <xf numFmtId="0" fontId="52" fillId="0" borderId="0" xfId="0" applyFont="1" applyAlignment="1">
      <alignment vertical="center"/>
    </xf>
    <xf numFmtId="0" fontId="53" fillId="0" borderId="0" xfId="0" applyFont="1"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6" fillId="43" borderId="39" xfId="0" applyFont="1" applyFill="1" applyBorder="1" applyAlignment="1">
      <alignment horizontal="center" vertical="center" wrapText="1"/>
    </xf>
    <xf numFmtId="3" fontId="54" fillId="43" borderId="41" xfId="0" applyNumberFormat="1" applyFont="1" applyFill="1" applyBorder="1" applyAlignment="1">
      <alignment vertical="center" wrapText="1"/>
    </xf>
    <xf numFmtId="10" fontId="54" fillId="43" borderId="42" xfId="0" applyNumberFormat="1" applyFont="1" applyFill="1" applyBorder="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wrapText="1"/>
    </xf>
    <xf numFmtId="0" fontId="21" fillId="4" borderId="38" xfId="0" applyFont="1" applyFill="1" applyBorder="1" applyAlignment="1">
      <alignment horizontal="center" vertical="center" wrapText="1"/>
    </xf>
    <xf numFmtId="0" fontId="21" fillId="43" borderId="4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171" fontId="7" fillId="41" borderId="14" xfId="6" applyNumberFormat="1" applyFont="1" applyFill="1" applyBorder="1"/>
    <xf numFmtId="0" fontId="3" fillId="20" borderId="14" xfId="6" applyFont="1" applyFill="1" applyBorder="1" applyAlignment="1">
      <alignment vertical="center"/>
    </xf>
    <xf numFmtId="0" fontId="3" fillId="21" borderId="14" xfId="6" applyFont="1" applyFill="1" applyBorder="1" applyAlignment="1">
      <alignment horizontal="left" vertical="center" wrapText="1"/>
    </xf>
    <xf numFmtId="0" fontId="3" fillId="10" borderId="14" xfId="6" applyFont="1" applyFill="1" applyBorder="1" applyAlignment="1">
      <alignment vertical="center"/>
    </xf>
    <xf numFmtId="0" fontId="3" fillId="13" borderId="14" xfId="6" applyFont="1" applyFill="1" applyBorder="1" applyAlignment="1">
      <alignment vertical="center"/>
    </xf>
    <xf numFmtId="0" fontId="6" fillId="0" borderId="0" xfId="0" applyFont="1" applyAlignment="1">
      <alignment horizontal="left" vertical="center" indent="1"/>
    </xf>
    <xf numFmtId="0" fontId="56" fillId="0" borderId="46" xfId="0" applyFont="1" applyBorder="1" applyAlignment="1">
      <alignment vertical="center" wrapText="1"/>
    </xf>
    <xf numFmtId="0" fontId="56" fillId="0" borderId="49" xfId="0" applyFont="1" applyBorder="1" applyAlignment="1">
      <alignment vertical="center" wrapText="1"/>
    </xf>
    <xf numFmtId="0" fontId="55" fillId="0" borderId="50" xfId="0" applyFont="1" applyBorder="1" applyAlignment="1">
      <alignment horizontal="left" vertical="center" wrapText="1" indent="2"/>
    </xf>
    <xf numFmtId="0" fontId="55" fillId="0" borderId="46" xfId="0" applyFont="1" applyBorder="1" applyAlignment="1">
      <alignment vertical="center" wrapText="1"/>
    </xf>
    <xf numFmtId="0" fontId="57" fillId="0" borderId="49" xfId="0" applyFont="1" applyBorder="1" applyAlignment="1">
      <alignment vertical="center" wrapText="1"/>
    </xf>
    <xf numFmtId="0" fontId="58" fillId="0" borderId="46" xfId="0" applyFont="1" applyBorder="1" applyAlignment="1">
      <alignment horizontal="left" vertical="center" wrapText="1" indent="1"/>
    </xf>
    <xf numFmtId="6" fontId="58" fillId="0" borderId="49" xfId="0" applyNumberFormat="1" applyFont="1" applyBorder="1" applyAlignment="1">
      <alignment vertical="center" wrapText="1"/>
    </xf>
    <xf numFmtId="0" fontId="58" fillId="0" borderId="50" xfId="0" applyFont="1" applyBorder="1" applyAlignment="1">
      <alignment vertical="center" wrapText="1"/>
    </xf>
    <xf numFmtId="0" fontId="55" fillId="0" borderId="46" xfId="0" applyFont="1" applyBorder="1" applyAlignment="1">
      <alignment horizontal="left" vertical="center" wrapText="1" indent="2"/>
    </xf>
    <xf numFmtId="6" fontId="55" fillId="0" borderId="49" xfId="0" applyNumberFormat="1" applyFont="1" applyBorder="1" applyAlignment="1">
      <alignment vertical="center" wrapText="1"/>
    </xf>
    <xf numFmtId="0" fontId="59" fillId="44" borderId="52" xfId="0" applyFont="1" applyFill="1" applyBorder="1" applyAlignment="1">
      <alignment vertical="center" wrapText="1"/>
    </xf>
    <xf numFmtId="0" fontId="60" fillId="44" borderId="52" xfId="0" applyFont="1" applyFill="1" applyBorder="1" applyAlignment="1">
      <alignment vertical="center" wrapText="1"/>
    </xf>
    <xf numFmtId="0" fontId="61" fillId="44" borderId="52" xfId="0" applyFont="1" applyFill="1" applyBorder="1" applyAlignment="1">
      <alignment horizontal="left" vertical="center" wrapText="1" indent="1"/>
    </xf>
    <xf numFmtId="0" fontId="62" fillId="44" borderId="52" xfId="0" applyFont="1" applyFill="1" applyBorder="1" applyAlignment="1">
      <alignment vertical="center" wrapText="1"/>
    </xf>
    <xf numFmtId="0" fontId="0" fillId="44" borderId="52" xfId="0" applyFill="1" applyBorder="1" applyAlignment="1">
      <alignment vertical="top" wrapText="1"/>
    </xf>
    <xf numFmtId="0" fontId="59" fillId="44" borderId="53" xfId="0" applyFont="1" applyFill="1" applyBorder="1" applyAlignment="1">
      <alignment vertical="center" wrapText="1"/>
    </xf>
    <xf numFmtId="0" fontId="57" fillId="44" borderId="53" xfId="0" applyFont="1" applyFill="1" applyBorder="1" applyAlignment="1">
      <alignment vertical="center" wrapText="1"/>
    </xf>
    <xf numFmtId="3" fontId="61" fillId="44" borderId="53" xfId="0" applyNumberFormat="1" applyFont="1" applyFill="1" applyBorder="1" applyAlignment="1">
      <alignment horizontal="left" vertical="center" wrapText="1" indent="2"/>
    </xf>
    <xf numFmtId="3" fontId="61" fillId="44" borderId="50" xfId="0" applyNumberFormat="1" applyFont="1" applyFill="1" applyBorder="1" applyAlignment="1">
      <alignment horizontal="left" vertical="center" wrapText="1" indent="2"/>
    </xf>
    <xf numFmtId="3" fontId="60" fillId="44" borderId="49" xfId="0" applyNumberFormat="1" applyFont="1" applyFill="1" applyBorder="1" applyAlignment="1">
      <alignment horizontal="right" vertical="center" wrapText="1"/>
    </xf>
    <xf numFmtId="3" fontId="60" fillId="44" borderId="54" xfId="0" applyNumberFormat="1" applyFont="1" applyFill="1" applyBorder="1" applyAlignment="1">
      <alignment horizontal="right" vertical="center" wrapText="1"/>
    </xf>
    <xf numFmtId="3" fontId="60" fillId="44" borderId="56" xfId="0" applyNumberFormat="1" applyFont="1" applyFill="1" applyBorder="1" applyAlignment="1">
      <alignment horizontal="right" vertical="center" wrapText="1"/>
    </xf>
    <xf numFmtId="0" fontId="57" fillId="0" borderId="46" xfId="0" applyFont="1" applyBorder="1" applyAlignment="1">
      <alignment vertical="center" wrapText="1"/>
    </xf>
    <xf numFmtId="0" fontId="59" fillId="45" borderId="52" xfId="0" applyFont="1" applyFill="1" applyBorder="1" applyAlignment="1">
      <alignment vertical="center" wrapText="1"/>
    </xf>
    <xf numFmtId="0" fontId="60" fillId="45" borderId="52" xfId="0" applyFont="1" applyFill="1" applyBorder="1" applyAlignment="1">
      <alignment vertical="center" wrapText="1"/>
    </xf>
    <xf numFmtId="0" fontId="61" fillId="45" borderId="52" xfId="0" applyFont="1" applyFill="1" applyBorder="1" applyAlignment="1">
      <alignment horizontal="left" vertical="center" wrapText="1" indent="1"/>
    </xf>
    <xf numFmtId="0" fontId="62" fillId="45" borderId="52" xfId="0" applyFont="1" applyFill="1" applyBorder="1" applyAlignment="1">
      <alignment vertical="center" wrapText="1"/>
    </xf>
    <xf numFmtId="0" fontId="0" fillId="45" borderId="52" xfId="0" applyFill="1" applyBorder="1" applyAlignment="1">
      <alignment vertical="top" wrapText="1"/>
    </xf>
    <xf numFmtId="0" fontId="59" fillId="45" borderId="53" xfId="0" applyFont="1" applyFill="1" applyBorder="1" applyAlignment="1">
      <alignment vertical="center" wrapText="1"/>
    </xf>
    <xf numFmtId="0" fontId="57" fillId="45" borderId="53" xfId="0" applyFont="1" applyFill="1" applyBorder="1" applyAlignment="1">
      <alignment vertical="center" wrapText="1"/>
    </xf>
    <xf numFmtId="3" fontId="61" fillId="45" borderId="53" xfId="0" applyNumberFormat="1" applyFont="1" applyFill="1" applyBorder="1" applyAlignment="1">
      <alignment horizontal="left" vertical="center" wrapText="1" indent="2"/>
    </xf>
    <xf numFmtId="3" fontId="61" fillId="45" borderId="50" xfId="0" applyNumberFormat="1" applyFont="1" applyFill="1" applyBorder="1" applyAlignment="1">
      <alignment horizontal="left" vertical="center" wrapText="1" indent="2"/>
    </xf>
    <xf numFmtId="3" fontId="60" fillId="45" borderId="49" xfId="0" applyNumberFormat="1" applyFont="1" applyFill="1" applyBorder="1" applyAlignment="1">
      <alignment horizontal="right" vertical="center" wrapText="1"/>
    </xf>
    <xf numFmtId="3" fontId="60" fillId="45" borderId="54" xfId="0" applyNumberFormat="1" applyFont="1" applyFill="1" applyBorder="1" applyAlignment="1">
      <alignment horizontal="right" vertical="center" wrapText="1"/>
    </xf>
    <xf numFmtId="3" fontId="60" fillId="45" borderId="56" xfId="0" applyNumberFormat="1" applyFont="1" applyFill="1" applyBorder="1" applyAlignment="1">
      <alignment horizontal="right" vertical="center" wrapText="1"/>
    </xf>
    <xf numFmtId="0" fontId="11" fillId="0" borderId="0" xfId="3"/>
    <xf numFmtId="0" fontId="66" fillId="0" borderId="0" xfId="6" applyFont="1"/>
    <xf numFmtId="0" fontId="66" fillId="0" borderId="13" xfId="6" applyFont="1" applyBorder="1" applyAlignment="1">
      <alignment horizontal="left"/>
    </xf>
    <xf numFmtId="0" fontId="66" fillId="0" borderId="0" xfId="6" applyFont="1" applyAlignment="1">
      <alignment horizontal="left"/>
    </xf>
    <xf numFmtId="0" fontId="65" fillId="0" borderId="10" xfId="6" applyFont="1" applyBorder="1"/>
    <xf numFmtId="172" fontId="3" fillId="2" borderId="0" xfId="1" applyNumberFormat="1" applyFont="1" applyFill="1" applyAlignment="1"/>
    <xf numFmtId="0" fontId="0" fillId="18" borderId="0" xfId="0" applyFill="1"/>
    <xf numFmtId="0" fontId="3" fillId="14" borderId="20" xfId="6" applyFont="1" applyFill="1" applyBorder="1"/>
    <xf numFmtId="9" fontId="23" fillId="15" borderId="16" xfId="6" applyNumberFormat="1" applyFont="1" applyFill="1" applyBorder="1" applyAlignment="1">
      <alignment horizontal="right" wrapText="1"/>
    </xf>
    <xf numFmtId="2" fontId="3" fillId="15" borderId="16" xfId="6" applyNumberFormat="1" applyFont="1" applyFill="1" applyBorder="1"/>
    <xf numFmtId="2" fontId="3" fillId="15" borderId="14" xfId="6" applyNumberFormat="1" applyFont="1" applyFill="1" applyBorder="1" applyAlignment="1">
      <alignment horizontal="right"/>
    </xf>
    <xf numFmtId="167" fontId="29" fillId="8" borderId="20" xfId="6" applyNumberFormat="1" applyFont="1" applyFill="1" applyBorder="1" applyAlignment="1">
      <alignment horizontal="center" wrapText="1"/>
    </xf>
    <xf numFmtId="167" fontId="66" fillId="0" borderId="0" xfId="6" applyNumberFormat="1" applyFont="1"/>
    <xf numFmtId="0" fontId="66" fillId="0" borderId="0" xfId="6" applyFont="1" applyAlignment="1">
      <alignment horizontal="left"/>
    </xf>
    <xf numFmtId="167" fontId="29" fillId="8" borderId="14" xfId="6" applyNumberFormat="1" applyFont="1" applyFill="1" applyBorder="1" applyAlignment="1">
      <alignment horizontal="center" wrapText="1"/>
    </xf>
    <xf numFmtId="0" fontId="15" fillId="0" borderId="10" xfId="6" applyFont="1" applyFill="1" applyBorder="1"/>
    <xf numFmtId="0" fontId="19" fillId="0" borderId="10" xfId="6" applyFont="1" applyFill="1" applyBorder="1"/>
    <xf numFmtId="0" fontId="3" fillId="0" borderId="10" xfId="6" applyFont="1" applyFill="1" applyBorder="1"/>
    <xf numFmtId="10" fontId="3" fillId="0" borderId="10" xfId="6" applyNumberFormat="1" applyFont="1" applyFill="1" applyBorder="1"/>
    <xf numFmtId="0" fontId="3" fillId="0" borderId="0" xfId="0" applyFont="1"/>
    <xf numFmtId="167" fontId="3" fillId="0" borderId="2" xfId="6" applyNumberFormat="1" applyFont="1" applyBorder="1"/>
    <xf numFmtId="167" fontId="3" fillId="0" borderId="19" xfId="6" applyNumberFormat="1" applyFont="1" applyBorder="1"/>
    <xf numFmtId="0" fontId="66" fillId="0" borderId="0" xfId="6" applyFont="1" applyAlignment="1">
      <alignment horizontal="left" vertical="center" wrapText="1"/>
    </xf>
    <xf numFmtId="0" fontId="66" fillId="0" borderId="13" xfId="6" applyFont="1" applyBorder="1" applyAlignment="1">
      <alignment horizontal="left" wrapText="1"/>
    </xf>
    <xf numFmtId="0" fontId="66" fillId="0" borderId="0" xfId="6" applyFont="1" applyAlignment="1">
      <alignment horizontal="left" wrapText="1"/>
    </xf>
    <xf numFmtId="0" fontId="66" fillId="0" borderId="0" xfId="6" applyFont="1" applyBorder="1" applyAlignment="1">
      <alignment horizontal="left" wrapText="1"/>
    </xf>
    <xf numFmtId="9" fontId="3" fillId="0" borderId="24" xfId="6" applyNumberFormat="1" applyFont="1" applyBorder="1" applyAlignment="1">
      <alignment horizontal="center"/>
    </xf>
    <xf numFmtId="9" fontId="3" fillId="0" borderId="25" xfId="6" applyNumberFormat="1" applyFont="1" applyBorder="1" applyAlignment="1">
      <alignment horizontal="center"/>
    </xf>
    <xf numFmtId="9" fontId="3" fillId="0" borderId="26" xfId="6" applyNumberFormat="1" applyFont="1" applyBorder="1" applyAlignment="1">
      <alignment horizontal="center"/>
    </xf>
    <xf numFmtId="0" fontId="36" fillId="0" borderId="14" xfId="6" applyFont="1" applyBorder="1" applyAlignment="1">
      <alignment horizontal="center" wrapText="1"/>
    </xf>
    <xf numFmtId="10" fontId="22" fillId="0" borderId="11" xfId="6" applyNumberFormat="1" applyFont="1" applyBorder="1" applyAlignment="1">
      <alignment horizontal="center" vertical="center" wrapText="1"/>
    </xf>
    <xf numFmtId="10" fontId="22" fillId="0" borderId="16" xfId="6" applyNumberFormat="1" applyFont="1" applyBorder="1" applyAlignment="1">
      <alignment horizontal="center" vertical="center" wrapText="1"/>
    </xf>
    <xf numFmtId="10" fontId="21" fillId="0" borderId="12" xfId="6" applyNumberFormat="1" applyFont="1" applyBorder="1" applyAlignment="1">
      <alignment horizontal="center" vertical="top" wrapText="1"/>
    </xf>
    <xf numFmtId="10" fontId="21" fillId="0" borderId="10" xfId="6" applyNumberFormat="1" applyFont="1" applyBorder="1" applyAlignment="1">
      <alignment horizontal="center" vertical="top" wrapText="1"/>
    </xf>
    <xf numFmtId="0" fontId="20" fillId="5" borderId="14" xfId="6" applyFont="1" applyFill="1" applyBorder="1" applyAlignment="1">
      <alignment horizontal="center"/>
    </xf>
    <xf numFmtId="0" fontId="20" fillId="5" borderId="15" xfId="6" applyFont="1" applyFill="1" applyBorder="1" applyAlignment="1">
      <alignment horizontal="center"/>
    </xf>
    <xf numFmtId="3" fontId="7" fillId="5" borderId="10" xfId="8" applyNumberFormat="1" applyFont="1" applyFill="1" applyBorder="1" applyAlignment="1">
      <alignment horizontal="center" vertical="center" wrapText="1"/>
    </xf>
    <xf numFmtId="0" fontId="7" fillId="0" borderId="15" xfId="6" applyFont="1" applyBorder="1" applyAlignment="1">
      <alignment horizontal="right" wrapText="1"/>
    </xf>
    <xf numFmtId="0" fontId="7" fillId="0" borderId="2" xfId="6" applyFont="1" applyBorder="1" applyAlignment="1">
      <alignment horizontal="right" wrapText="1"/>
    </xf>
    <xf numFmtId="0" fontId="3" fillId="4" borderId="32" xfId="6" applyFont="1" applyFill="1" applyBorder="1" applyAlignment="1">
      <alignment horizontal="center"/>
    </xf>
    <xf numFmtId="0" fontId="3" fillId="4" borderId="1" xfId="6" applyFont="1" applyFill="1" applyBorder="1" applyAlignment="1">
      <alignment horizontal="center"/>
    </xf>
    <xf numFmtId="0" fontId="3" fillId="4" borderId="33" xfId="6" applyFont="1" applyFill="1" applyBorder="1" applyAlignment="1">
      <alignment horizontal="center"/>
    </xf>
    <xf numFmtId="0" fontId="42" fillId="31" borderId="15" xfId="3" applyFont="1" applyFill="1" applyBorder="1" applyAlignment="1">
      <alignment horizontal="center" vertical="center" wrapText="1"/>
    </xf>
    <xf numFmtId="0" fontId="42" fillId="31" borderId="2" xfId="3" applyFont="1" applyFill="1" applyBorder="1" applyAlignment="1">
      <alignment horizontal="center" vertical="center" wrapText="1"/>
    </xf>
    <xf numFmtId="0" fontId="42" fillId="32" borderId="15" xfId="3" applyFont="1" applyFill="1" applyBorder="1" applyAlignment="1">
      <alignment horizontal="center" vertical="center" wrapText="1"/>
    </xf>
    <xf numFmtId="0" fontId="42" fillId="32" borderId="2" xfId="3" applyFont="1" applyFill="1" applyBorder="1" applyAlignment="1">
      <alignment horizontal="center" vertical="center" wrapText="1"/>
    </xf>
    <xf numFmtId="0" fontId="42" fillId="32" borderId="19" xfId="3" applyFont="1" applyFill="1" applyBorder="1" applyAlignment="1">
      <alignment horizontal="center" vertical="center" wrapText="1"/>
    </xf>
    <xf numFmtId="0" fontId="0" fillId="0" borderId="2" xfId="0" applyFill="1" applyBorder="1"/>
    <xf numFmtId="0" fontId="45" fillId="40" borderId="15" xfId="6" applyFont="1" applyFill="1" applyBorder="1" applyAlignment="1">
      <alignment horizontal="center"/>
    </xf>
    <xf numFmtId="0" fontId="45" fillId="40" borderId="2" xfId="6" applyFont="1" applyFill="1" applyBorder="1" applyAlignment="1">
      <alignment horizontal="center"/>
    </xf>
    <xf numFmtId="0" fontId="45" fillId="40" borderId="19" xfId="6" applyFont="1" applyFill="1" applyBorder="1" applyAlignment="1">
      <alignment horizontal="center"/>
    </xf>
    <xf numFmtId="0" fontId="6" fillId="41" borderId="23" xfId="6" applyFont="1" applyFill="1" applyBorder="1" applyAlignment="1">
      <alignment horizontal="center" vertical="center" wrapText="1"/>
    </xf>
    <xf numFmtId="0" fontId="6" fillId="41" borderId="12" xfId="6" applyFont="1" applyFill="1" applyBorder="1" applyAlignment="1">
      <alignment horizontal="center" vertical="center" wrapText="1"/>
    </xf>
    <xf numFmtId="0" fontId="6" fillId="41" borderId="20" xfId="6" applyFont="1" applyFill="1" applyBorder="1" applyAlignment="1">
      <alignment horizontal="center" vertical="center" wrapText="1"/>
    </xf>
    <xf numFmtId="0" fontId="6" fillId="41" borderId="13" xfId="6" applyFont="1" applyFill="1" applyBorder="1" applyAlignment="1">
      <alignment horizontal="center" vertical="center" wrapText="1"/>
    </xf>
    <xf numFmtId="0" fontId="6" fillId="41" borderId="0" xfId="6" applyFont="1" applyFill="1" applyAlignment="1">
      <alignment horizontal="center" vertical="center" wrapText="1"/>
    </xf>
    <xf numFmtId="0" fontId="6" fillId="41" borderId="17" xfId="6" applyFont="1" applyFill="1" applyBorder="1" applyAlignment="1">
      <alignment horizontal="center" vertical="center" wrapText="1"/>
    </xf>
    <xf numFmtId="0" fontId="6" fillId="41" borderId="21" xfId="6" applyFont="1" applyFill="1" applyBorder="1" applyAlignment="1">
      <alignment horizontal="center" vertical="center" wrapText="1"/>
    </xf>
    <xf numFmtId="0" fontId="6" fillId="41" borderId="10" xfId="6" applyFont="1" applyFill="1" applyBorder="1" applyAlignment="1">
      <alignment horizontal="center" vertical="center" wrapText="1"/>
    </xf>
    <xf numFmtId="0" fontId="6" fillId="41" borderId="22" xfId="6"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wrapText="1"/>
    </xf>
    <xf numFmtId="0" fontId="6" fillId="43" borderId="37" xfId="0" applyFont="1" applyFill="1" applyBorder="1" applyAlignment="1">
      <alignment horizontal="center" vertical="center" wrapText="1"/>
    </xf>
    <xf numFmtId="0" fontId="6" fillId="43" borderId="40" xfId="0" applyFont="1" applyFill="1" applyBorder="1" applyAlignment="1">
      <alignment horizontal="center" vertical="center" wrapText="1"/>
    </xf>
    <xf numFmtId="0" fontId="58" fillId="0" borderId="43" xfId="0" applyFont="1" applyBorder="1" applyAlignment="1">
      <alignment vertical="center" wrapText="1"/>
    </xf>
    <xf numFmtId="0" fontId="58" fillId="0" borderId="44" xfId="0" applyFont="1" applyBorder="1" applyAlignment="1">
      <alignment vertical="center" wrapText="1"/>
    </xf>
    <xf numFmtId="0" fontId="58" fillId="0" borderId="45" xfId="0" applyFont="1" applyBorder="1" applyAlignment="1">
      <alignment vertical="center" wrapText="1"/>
    </xf>
    <xf numFmtId="0" fontId="58" fillId="0" borderId="66" xfId="0" applyFont="1" applyBorder="1" applyAlignment="1">
      <alignment vertical="center" wrapText="1"/>
    </xf>
    <xf numFmtId="0" fontId="58" fillId="0" borderId="61" xfId="0" applyFont="1" applyBorder="1" applyAlignment="1">
      <alignment vertical="center" wrapText="1"/>
    </xf>
    <xf numFmtId="0" fontId="58" fillId="0" borderId="67" xfId="0" applyFont="1" applyBorder="1" applyAlignment="1">
      <alignment vertical="center" wrapText="1"/>
    </xf>
    <xf numFmtId="0" fontId="58" fillId="0" borderId="47" xfId="0" applyFont="1" applyBorder="1" applyAlignment="1">
      <alignment vertical="center" wrapText="1"/>
    </xf>
    <xf numFmtId="0" fontId="58" fillId="0" borderId="48" xfId="0" applyFont="1" applyBorder="1" applyAlignment="1">
      <alignment vertical="center" wrapText="1"/>
    </xf>
    <xf numFmtId="0" fontId="58" fillId="0" borderId="49" xfId="0" applyFont="1" applyBorder="1" applyAlignment="1">
      <alignment vertical="center" wrapText="1"/>
    </xf>
    <xf numFmtId="0" fontId="56" fillId="0" borderId="43" xfId="0" applyFont="1" applyBorder="1" applyAlignment="1">
      <alignment vertical="center" wrapText="1"/>
    </xf>
    <xf numFmtId="0" fontId="56" fillId="0" borderId="44" xfId="0" applyFont="1" applyBorder="1" applyAlignment="1">
      <alignment vertical="center" wrapText="1"/>
    </xf>
    <xf numFmtId="0" fontId="56" fillId="0" borderId="45" xfId="0" applyFont="1" applyBorder="1" applyAlignment="1">
      <alignment vertical="center" wrapText="1"/>
    </xf>
    <xf numFmtId="0" fontId="55" fillId="0" borderId="43" xfId="0" applyFont="1" applyBorder="1" applyAlignment="1">
      <alignment vertical="center" wrapText="1"/>
    </xf>
    <xf numFmtId="0" fontId="55" fillId="0" borderId="44" xfId="0" applyFont="1" applyBorder="1" applyAlignment="1">
      <alignment vertical="center" wrapText="1"/>
    </xf>
    <xf numFmtId="0" fontId="55" fillId="0" borderId="45" xfId="0" applyFont="1" applyBorder="1" applyAlignment="1">
      <alignment vertical="center" wrapText="1"/>
    </xf>
    <xf numFmtId="0" fontId="60" fillId="45" borderId="63" xfId="0" applyFont="1" applyFill="1" applyBorder="1" applyAlignment="1">
      <alignment vertical="center" wrapText="1"/>
    </xf>
    <xf numFmtId="0" fontId="60" fillId="45" borderId="63" xfId="0" applyFont="1" applyFill="1" applyBorder="1" applyAlignment="1">
      <alignment horizontal="left" vertical="center" wrapText="1" indent="2"/>
    </xf>
    <xf numFmtId="0" fontId="57" fillId="45" borderId="64" xfId="0" applyFont="1" applyFill="1" applyBorder="1" applyAlignment="1">
      <alignment vertical="center" wrapText="1"/>
    </xf>
    <xf numFmtId="0" fontId="57" fillId="45" borderId="65" xfId="0" applyFont="1" applyFill="1" applyBorder="1" applyAlignment="1">
      <alignment vertical="center" wrapText="1"/>
    </xf>
    <xf numFmtId="0" fontId="63" fillId="45" borderId="61" xfId="0" applyFont="1" applyFill="1" applyBorder="1" applyAlignment="1">
      <alignment horizontal="left" vertical="center" wrapText="1" indent="14"/>
    </xf>
    <xf numFmtId="0" fontId="64" fillId="45" borderId="0" xfId="0" applyFont="1" applyFill="1" applyAlignment="1">
      <alignment vertical="center" wrapText="1"/>
    </xf>
    <xf numFmtId="0" fontId="61" fillId="45" borderId="0" xfId="0" applyFont="1" applyFill="1" applyAlignment="1">
      <alignment vertical="center" wrapText="1"/>
    </xf>
    <xf numFmtId="0" fontId="60" fillId="45" borderId="47" xfId="0" applyFont="1" applyFill="1" applyBorder="1" applyAlignment="1">
      <alignment vertical="center" wrapText="1"/>
    </xf>
    <xf numFmtId="0" fontId="60" fillId="45" borderId="48" xfId="0" applyFont="1" applyFill="1" applyBorder="1" applyAlignment="1">
      <alignment vertical="center" wrapText="1"/>
    </xf>
    <xf numFmtId="0" fontId="60" fillId="45" borderId="55" xfId="0" applyFont="1" applyFill="1" applyBorder="1" applyAlignment="1">
      <alignment horizontal="left" vertical="center" wrapText="1" indent="2"/>
    </xf>
    <xf numFmtId="0" fontId="0" fillId="45" borderId="51" xfId="0" applyFill="1" applyBorder="1" applyAlignment="1">
      <alignment vertical="top" wrapText="1"/>
    </xf>
    <xf numFmtId="0" fontId="59" fillId="45" borderId="61" xfId="0" applyFont="1" applyFill="1" applyBorder="1" applyAlignment="1">
      <alignment vertical="center" wrapText="1"/>
    </xf>
    <xf numFmtId="0" fontId="59" fillId="45" borderId="0" xfId="0" applyFont="1" applyFill="1" applyAlignment="1">
      <alignment vertical="center" wrapText="1"/>
    </xf>
    <xf numFmtId="0" fontId="57" fillId="45" borderId="0" xfId="0" applyFont="1" applyFill="1" applyAlignment="1">
      <alignment vertical="center" wrapText="1"/>
    </xf>
    <xf numFmtId="0" fontId="61" fillId="45" borderId="0" xfId="0" applyFont="1" applyFill="1" applyAlignment="1">
      <alignment horizontal="left" vertical="center" wrapText="1" indent="2"/>
    </xf>
    <xf numFmtId="0" fontId="61" fillId="45" borderId="51" xfId="0" applyFont="1" applyFill="1" applyBorder="1" applyAlignment="1">
      <alignment horizontal="left" vertical="center" wrapText="1" indent="2"/>
    </xf>
    <xf numFmtId="0" fontId="60" fillId="45" borderId="62" xfId="0" applyFont="1" applyFill="1" applyBorder="1" applyAlignment="1">
      <alignment vertical="center" wrapText="1"/>
    </xf>
    <xf numFmtId="0" fontId="60" fillId="45" borderId="62" xfId="0" applyFont="1" applyFill="1" applyBorder="1" applyAlignment="1">
      <alignment horizontal="left" vertical="center" wrapText="1" indent="2"/>
    </xf>
    <xf numFmtId="0" fontId="57" fillId="44" borderId="64" xfId="0" applyFont="1" applyFill="1" applyBorder="1" applyAlignment="1">
      <alignment vertical="center" wrapText="1"/>
    </xf>
    <xf numFmtId="0" fontId="57" fillId="44" borderId="65" xfId="0" applyFont="1" applyFill="1" applyBorder="1" applyAlignment="1">
      <alignment vertical="center" wrapText="1"/>
    </xf>
    <xf numFmtId="0" fontId="57" fillId="0" borderId="43" xfId="0" applyFont="1" applyBorder="1" applyAlignment="1">
      <alignment vertical="center" wrapText="1"/>
    </xf>
    <xf numFmtId="0" fontId="57" fillId="0" borderId="45" xfId="0" applyFont="1" applyBorder="1" applyAlignment="1">
      <alignment vertical="center" wrapText="1"/>
    </xf>
    <xf numFmtId="0" fontId="60" fillId="44" borderId="47" xfId="0" applyFont="1" applyFill="1" applyBorder="1" applyAlignment="1">
      <alignment vertical="center" wrapText="1"/>
    </xf>
    <xf numFmtId="0" fontId="60" fillId="44" borderId="48" xfId="0" applyFont="1" applyFill="1" applyBorder="1" applyAlignment="1">
      <alignment vertical="center" wrapText="1"/>
    </xf>
    <xf numFmtId="0" fontId="60" fillId="44" borderId="55" xfId="0" applyFont="1" applyFill="1" applyBorder="1" applyAlignment="1">
      <alignment horizontal="left" vertical="center" wrapText="1" indent="2"/>
    </xf>
    <xf numFmtId="0" fontId="60" fillId="44" borderId="63" xfId="0" applyFont="1" applyFill="1" applyBorder="1" applyAlignment="1">
      <alignment vertical="center" wrapText="1"/>
    </xf>
    <xf numFmtId="0" fontId="60" fillId="44" borderId="63" xfId="0" applyFont="1" applyFill="1" applyBorder="1" applyAlignment="1">
      <alignment horizontal="left" vertical="center" wrapText="1" indent="2"/>
    </xf>
    <xf numFmtId="0" fontId="60" fillId="44" borderId="62" xfId="0" applyFont="1" applyFill="1" applyBorder="1" applyAlignment="1">
      <alignment vertical="center" wrapText="1"/>
    </xf>
    <xf numFmtId="0" fontId="60" fillId="44" borderId="62" xfId="0" applyFont="1" applyFill="1" applyBorder="1" applyAlignment="1">
      <alignment horizontal="left" vertical="center" wrapText="1" indent="2"/>
    </xf>
    <xf numFmtId="0" fontId="61" fillId="44" borderId="51" xfId="0" applyFont="1" applyFill="1" applyBorder="1" applyAlignment="1">
      <alignment horizontal="left" vertical="center" wrapText="1" indent="2"/>
    </xf>
    <xf numFmtId="0" fontId="0" fillId="44" borderId="51" xfId="0" applyFill="1" applyBorder="1" applyAlignment="1">
      <alignment vertical="top" wrapText="1"/>
    </xf>
    <xf numFmtId="0" fontId="64" fillId="44" borderId="0" xfId="0" applyFont="1" applyFill="1" applyAlignment="1">
      <alignment vertical="center" wrapText="1"/>
    </xf>
    <xf numFmtId="0" fontId="61" fillId="44" borderId="0" xfId="0" applyFont="1" applyFill="1" applyAlignment="1">
      <alignment vertical="center" wrapText="1"/>
    </xf>
    <xf numFmtId="0" fontId="58" fillId="0" borderId="57" xfId="0" applyFont="1" applyBorder="1" applyAlignment="1">
      <alignment vertical="center" wrapText="1"/>
    </xf>
    <xf numFmtId="0" fontId="58" fillId="0" borderId="58" xfId="0" applyFont="1" applyBorder="1" applyAlignment="1">
      <alignment vertical="center" wrapText="1"/>
    </xf>
    <xf numFmtId="6" fontId="55" fillId="0" borderId="59" xfId="0" applyNumberFormat="1" applyFont="1" applyBorder="1" applyAlignment="1">
      <alignment vertical="center" wrapText="1"/>
    </xf>
    <xf numFmtId="6" fontId="55" fillId="0" borderId="60" xfId="0" applyNumberFormat="1" applyFont="1" applyBorder="1" applyAlignment="1">
      <alignment vertical="center" wrapText="1"/>
    </xf>
    <xf numFmtId="0" fontId="59" fillId="44" borderId="0" xfId="0" applyFont="1" applyFill="1" applyAlignment="1">
      <alignment vertical="center" wrapText="1"/>
    </xf>
    <xf numFmtId="0" fontId="57" fillId="44" borderId="0" xfId="0" applyFont="1" applyFill="1" applyAlignment="1">
      <alignment vertical="center" wrapText="1"/>
    </xf>
    <xf numFmtId="0" fontId="61" fillId="44" borderId="0" xfId="0" applyFont="1" applyFill="1" applyAlignment="1">
      <alignment horizontal="left" vertical="center" wrapText="1" indent="2"/>
    </xf>
    <xf numFmtId="0" fontId="59" fillId="44" borderId="61" xfId="0" applyFont="1" applyFill="1" applyBorder="1" applyAlignment="1">
      <alignment vertical="center" wrapText="1"/>
    </xf>
    <xf numFmtId="0" fontId="63" fillId="44" borderId="61" xfId="0" applyFont="1" applyFill="1" applyBorder="1" applyAlignment="1">
      <alignment horizontal="left" vertical="center" wrapText="1" indent="10"/>
    </xf>
    <xf numFmtId="0" fontId="57" fillId="0" borderId="59" xfId="0" applyFont="1" applyBorder="1" applyAlignment="1">
      <alignment vertical="center" wrapText="1"/>
    </xf>
    <xf numFmtId="0" fontId="57" fillId="0" borderId="60" xfId="0" applyFont="1" applyBorder="1" applyAlignment="1">
      <alignment vertical="center" wrapText="1"/>
    </xf>
    <xf numFmtId="6" fontId="58" fillId="0" borderId="43" xfId="0" applyNumberFormat="1" applyFont="1" applyBorder="1" applyAlignment="1">
      <alignment vertical="center" wrapText="1"/>
    </xf>
    <xf numFmtId="6" fontId="58" fillId="0" borderId="45" xfId="0" applyNumberFormat="1" applyFont="1" applyBorder="1" applyAlignment="1">
      <alignment vertical="center" wrapText="1"/>
    </xf>
    <xf numFmtId="0" fontId="55" fillId="0" borderId="57" xfId="0" applyFont="1" applyBorder="1" applyAlignment="1">
      <alignment horizontal="left" vertical="center" wrapText="1" indent="2"/>
    </xf>
    <xf numFmtId="0" fontId="55" fillId="0" borderId="58" xfId="0" applyFont="1" applyBorder="1" applyAlignment="1">
      <alignment horizontal="left" vertical="center" wrapText="1" indent="2"/>
    </xf>
    <xf numFmtId="0" fontId="55" fillId="0" borderId="43" xfId="0" applyFont="1" applyBorder="1" applyAlignment="1">
      <alignment horizontal="left" vertical="center" wrapText="1" indent="15"/>
    </xf>
    <xf numFmtId="0" fontId="55" fillId="0" borderId="44" xfId="0" applyFont="1" applyBorder="1" applyAlignment="1">
      <alignment horizontal="left" vertical="center" wrapText="1" indent="15"/>
    </xf>
    <xf numFmtId="0" fontId="55" fillId="0" borderId="45" xfId="0" applyFont="1" applyBorder="1" applyAlignment="1">
      <alignment horizontal="left" vertical="center" wrapText="1" indent="15"/>
    </xf>
  </cellXfs>
  <cellStyles count="19">
    <cellStyle name="Accent2" xfId="5" builtinId="33"/>
    <cellStyle name="Accent3 2" xfId="11" xr:uid="{00000000-0005-0000-0000-000001000000}"/>
    <cellStyle name="Accent5 2" xfId="10" xr:uid="{00000000-0005-0000-0000-000002000000}"/>
    <cellStyle name="Comma" xfId="1" builtinId="3"/>
    <cellStyle name="Comma [0]_WORKSHEET" xfId="8" xr:uid="{00000000-0005-0000-0000-000005000000}"/>
    <cellStyle name="Comma 2" xfId="15" xr:uid="{18B08C0F-F8F0-4C57-8A6A-01E3D0BF34D1}"/>
    <cellStyle name="Comma 3" xfId="18" xr:uid="{47350E96-BF72-4433-8AFA-632AC836F2EB}"/>
    <cellStyle name="Comma_WORKSHEET" xfId="9" xr:uid="{00000000-0005-0000-0000-000006000000}"/>
    <cellStyle name="Currency" xfId="4" builtinId="4"/>
    <cellStyle name="Currency 2" xfId="13" xr:uid="{00000000-0005-0000-0000-000008000000}"/>
    <cellStyle name="Currency 3" xfId="16" xr:uid="{8030E44B-7B82-4767-BEA8-9A93B2BDFB6A}"/>
    <cellStyle name="Hyperlink" xfId="3" builtinId="8"/>
    <cellStyle name="Normal" xfId="0" builtinId="0"/>
    <cellStyle name="Normal 2" xfId="7" xr:uid="{00000000-0005-0000-0000-00000B000000}"/>
    <cellStyle name="Normal 3" xfId="14" xr:uid="{ADCE2712-E08A-4A43-AE6F-1F2716F81FAB}"/>
    <cellStyle name="Normal_WORKSHEET" xfId="6" xr:uid="{00000000-0005-0000-0000-00000C000000}"/>
    <cellStyle name="Output 2" xfId="12" xr:uid="{00000000-0005-0000-0000-00000D000000}"/>
    <cellStyle name="Percent" xfId="2" builtinId="5"/>
    <cellStyle name="Percent 2" xfId="17" xr:uid="{435AD6ED-32DD-4F12-BC12-35895CF19AA0}"/>
  </cellStyles>
  <dxfs count="0"/>
  <tableStyles count="0" defaultTableStyle="TableStyleMedium2" defaultPivotStyle="PivotStyleLight16"/>
  <colors>
    <mruColors>
      <color rgb="FF14F419"/>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444762</xdr:colOff>
      <xdr:row>4</xdr:row>
      <xdr:rowOff>115358</xdr:rowOff>
    </xdr:from>
    <xdr:to>
      <xdr:col>8</xdr:col>
      <xdr:colOff>0</xdr:colOff>
      <xdr:row>5</xdr:row>
      <xdr:rowOff>116419</xdr:rowOff>
    </xdr:to>
    <xdr:sp macro="" textlink="">
      <xdr:nvSpPr>
        <xdr:cNvPr id="2" name="Down Arrow 1">
          <a:extLst>
            <a:ext uri="{FF2B5EF4-FFF2-40B4-BE49-F238E27FC236}">
              <a16:creationId xmlns:a16="http://schemas.microsoft.com/office/drawing/2014/main" id="{00000000-0008-0000-0000-000003000000}"/>
            </a:ext>
          </a:extLst>
        </xdr:cNvPr>
        <xdr:cNvSpPr/>
      </xdr:nvSpPr>
      <xdr:spPr bwMode="auto">
        <a:xfrm>
          <a:off x="5359662" y="1429808"/>
          <a:ext cx="145788" cy="248711"/>
        </a:xfrm>
        <a:prstGeom prst="downArrow">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clientData/>
  </xdr:twoCellAnchor>
  <xdr:twoCellAnchor>
    <xdr:from>
      <xdr:col>5</xdr:col>
      <xdr:colOff>488156</xdr:colOff>
      <xdr:row>4</xdr:row>
      <xdr:rowOff>91282</xdr:rowOff>
    </xdr:from>
    <xdr:to>
      <xdr:col>5</xdr:col>
      <xdr:colOff>678656</xdr:colOff>
      <xdr:row>5</xdr:row>
      <xdr:rowOff>103189</xdr:rowOff>
    </xdr:to>
    <xdr:sp macro="" textlink="">
      <xdr:nvSpPr>
        <xdr:cNvPr id="3" name="Down Arrow 2">
          <a:extLst>
            <a:ext uri="{FF2B5EF4-FFF2-40B4-BE49-F238E27FC236}">
              <a16:creationId xmlns:a16="http://schemas.microsoft.com/office/drawing/2014/main" id="{00000000-0008-0000-0000-000005000000}"/>
            </a:ext>
          </a:extLst>
        </xdr:cNvPr>
        <xdr:cNvSpPr/>
      </xdr:nvSpPr>
      <xdr:spPr bwMode="auto">
        <a:xfrm>
          <a:off x="4279106" y="1405732"/>
          <a:ext cx="190500" cy="259557"/>
        </a:xfrm>
        <a:prstGeom prst="downArrow">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ckmar1/Downloads/SIExcelFormula%202019%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 Formulas"/>
      <sheetName val="Research Associates"/>
      <sheetName val="FICA"/>
      <sheetName val="Rates"/>
    </sheetNames>
    <sheetDataSet>
      <sheetData sheetId="0"/>
      <sheetData sheetId="1"/>
      <sheetData sheetId="2">
        <row r="1">
          <cell r="F1" t="str">
            <v>2019</v>
          </cell>
        </row>
        <row r="9">
          <cell r="F9">
            <v>1.4E-2</v>
          </cell>
        </row>
        <row r="11">
          <cell r="A11" t="str">
            <v>7/1/2019 -  6/30/2020</v>
          </cell>
          <cell r="B11">
            <v>135226</v>
          </cell>
          <cell r="C11">
            <v>8384</v>
          </cell>
        </row>
        <row r="12">
          <cell r="A12" t="str">
            <v>7/1/2020 - 6/30/2021</v>
          </cell>
          <cell r="B12">
            <v>139959</v>
          </cell>
          <cell r="C12">
            <v>8677</v>
          </cell>
        </row>
        <row r="13">
          <cell r="A13" t="str">
            <v>7/1/2021 - 6/30/2022</v>
          </cell>
          <cell r="B13">
            <v>144858</v>
          </cell>
          <cell r="C13">
            <v>8981</v>
          </cell>
        </row>
        <row r="14">
          <cell r="A14" t="str">
            <v>7/1/2022 - 6/30/2023</v>
          </cell>
          <cell r="B14">
            <v>149928</v>
          </cell>
          <cell r="C14">
            <v>9296</v>
          </cell>
        </row>
        <row r="15">
          <cell r="A15" t="str">
            <v>7/1/2023 - 6/30/2024</v>
          </cell>
          <cell r="B15">
            <v>155175</v>
          </cell>
          <cell r="C15">
            <v>9621</v>
          </cell>
        </row>
        <row r="16">
          <cell r="A16" t="str">
            <v>7/1/2024 - 6/30/2025</v>
          </cell>
          <cell r="B16">
            <v>160606</v>
          </cell>
          <cell r="C16">
            <v>9958</v>
          </cell>
        </row>
        <row r="17">
          <cell r="A17" t="str">
            <v>7/1/2025 - 6/30/2026</v>
          </cell>
          <cell r="B17">
            <v>166227</v>
          </cell>
          <cell r="C17">
            <v>10306</v>
          </cell>
        </row>
        <row r="18">
          <cell r="A18" t="str">
            <v>7/1/2026 - 6/30/2027</v>
          </cell>
          <cell r="B18">
            <v>172045</v>
          </cell>
          <cell r="C18">
            <v>10667</v>
          </cell>
        </row>
        <row r="19">
          <cell r="A19" t="str">
            <v>7/1/2027 - 6/30/2028</v>
          </cell>
          <cell r="B19">
            <v>178067</v>
          </cell>
          <cell r="C19">
            <v>11040</v>
          </cell>
        </row>
        <row r="25">
          <cell r="A25" t="str">
            <v>Revised 5/23/2019</v>
          </cell>
        </row>
      </sheetData>
      <sheetData sheetId="3">
        <row r="3">
          <cell r="B3">
            <v>15480</v>
          </cell>
          <cell r="C3">
            <v>3544</v>
          </cell>
        </row>
        <row r="4">
          <cell r="E4">
            <v>0.05</v>
          </cell>
        </row>
        <row r="5">
          <cell r="E5">
            <v>0.05</v>
          </cell>
        </row>
        <row r="6">
          <cell r="E6">
            <v>0.05</v>
          </cell>
        </row>
        <row r="7">
          <cell r="E7">
            <v>0.05</v>
          </cell>
        </row>
        <row r="8">
          <cell r="E8">
            <v>0.05</v>
          </cell>
        </row>
        <row r="9">
          <cell r="E9">
            <v>0.05</v>
          </cell>
        </row>
        <row r="10">
          <cell r="E10">
            <v>0.05</v>
          </cell>
        </row>
        <row r="11">
          <cell r="E11">
            <v>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a.gov/travel/plan-book/per-diem-rat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cga.msu.edu/PL/Portal/95/20192020FringeBenefitsforSponsoredProject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84"/>
  <sheetViews>
    <sheetView topLeftCell="A32" workbookViewId="0">
      <selection activeCell="AB17" sqref="AB17"/>
    </sheetView>
  </sheetViews>
  <sheetFormatPr defaultColWidth="9.109375" defaultRowHeight="12.6" x14ac:dyDescent="0.25"/>
  <cols>
    <col min="1" max="1" width="4.6640625" style="36" customWidth="1"/>
    <col min="2" max="2" width="31.33203125" style="36" customWidth="1"/>
    <col min="3" max="3" width="7.109375" style="36" customWidth="1"/>
    <col min="4" max="4" width="6.44140625" style="36" customWidth="1"/>
    <col min="5" max="5" width="7.33203125" style="36" customWidth="1"/>
    <col min="6" max="6" width="16.109375" style="36" customWidth="1"/>
    <col min="7" max="7" width="15.6640625" style="38" customWidth="1"/>
    <col min="8" max="8" width="0.33203125" style="38" customWidth="1"/>
    <col min="9" max="9" width="12.109375" style="36" customWidth="1"/>
    <col min="10" max="10" width="13.109375" style="36" customWidth="1"/>
    <col min="11" max="13" width="12.5546875" style="36" customWidth="1"/>
    <col min="14" max="14" width="11.44140625" style="36" customWidth="1"/>
    <col min="15" max="15" width="11.88671875" style="36" hidden="1" customWidth="1"/>
    <col min="16" max="16" width="12" style="36" hidden="1" customWidth="1"/>
    <col min="17" max="17" width="9.6640625" style="36" hidden="1" customWidth="1"/>
    <col min="18" max="18" width="10.33203125" style="36" hidden="1" customWidth="1"/>
    <col min="19" max="19" width="9.44140625" style="36" hidden="1" customWidth="1"/>
    <col min="20" max="20" width="13.109375" style="36" hidden="1" customWidth="1"/>
    <col min="21" max="21" width="17.6640625" style="36" customWidth="1"/>
    <col min="22" max="22" width="29.44140625" style="36" hidden="1" customWidth="1"/>
    <col min="23" max="23" width="9.6640625" style="36" customWidth="1"/>
    <col min="24" max="24" width="21.109375" style="36" hidden="1" customWidth="1"/>
    <col min="25" max="25" width="15" style="36" hidden="1" customWidth="1"/>
    <col min="26" max="26" width="8.44140625" style="36" hidden="1" customWidth="1"/>
    <col min="27" max="27" width="0" style="36" hidden="1" customWidth="1"/>
    <col min="28" max="16384" width="9.109375" style="36"/>
  </cols>
  <sheetData>
    <row r="1" spans="1:33" ht="18" x14ac:dyDescent="0.35">
      <c r="B1" s="37" t="s">
        <v>73</v>
      </c>
      <c r="C1" s="42"/>
      <c r="D1" s="42"/>
      <c r="E1" s="42"/>
    </row>
    <row r="2" spans="1:33" ht="18" x14ac:dyDescent="0.35">
      <c r="A2" s="39"/>
      <c r="B2" s="40" t="s">
        <v>74</v>
      </c>
      <c r="C2" s="42"/>
      <c r="D2" s="308"/>
      <c r="E2" s="42"/>
      <c r="F2" s="39"/>
      <c r="G2" s="41"/>
      <c r="H2" s="41"/>
      <c r="I2" s="39"/>
      <c r="J2" s="39"/>
      <c r="K2" s="39"/>
      <c r="L2" s="39"/>
      <c r="M2" s="39"/>
      <c r="N2" s="39"/>
      <c r="O2" s="39"/>
      <c r="P2" s="39"/>
      <c r="Q2" s="39"/>
      <c r="R2" s="39"/>
      <c r="S2" s="39"/>
      <c r="T2" s="39"/>
    </row>
    <row r="3" spans="1:33" ht="20.100000000000001" customHeight="1" x14ac:dyDescent="0.35">
      <c r="A3" s="42"/>
      <c r="B3" s="304" t="s">
        <v>75</v>
      </c>
      <c r="C3" s="304" t="s">
        <v>76</v>
      </c>
      <c r="D3" s="305"/>
      <c r="E3" s="306"/>
      <c r="F3" s="306" t="s">
        <v>77</v>
      </c>
      <c r="G3" s="307"/>
      <c r="H3" s="43"/>
      <c r="I3" s="44"/>
      <c r="J3" s="44"/>
      <c r="K3" s="44"/>
      <c r="L3" s="44"/>
      <c r="M3" s="44"/>
      <c r="N3" s="44"/>
      <c r="O3" s="44"/>
      <c r="P3" s="44"/>
      <c r="Q3" s="44"/>
      <c r="R3" s="44"/>
      <c r="S3" s="44"/>
      <c r="T3" s="44"/>
      <c r="U3" s="290" t="s">
        <v>227</v>
      </c>
    </row>
    <row r="4" spans="1:33" ht="46.5" customHeight="1" x14ac:dyDescent="0.3">
      <c r="A4" s="42"/>
      <c r="B4" s="45" t="s">
        <v>77</v>
      </c>
      <c r="C4" s="42"/>
      <c r="D4" s="42"/>
      <c r="E4" s="42"/>
      <c r="F4" s="46" t="s">
        <v>78</v>
      </c>
      <c r="G4" s="319" t="s">
        <v>231</v>
      </c>
      <c r="H4" s="321" t="s">
        <v>77</v>
      </c>
      <c r="I4" s="47"/>
      <c r="J4" s="47"/>
      <c r="K4" s="47"/>
      <c r="L4" s="47"/>
      <c r="M4" s="47"/>
      <c r="N4" s="48"/>
      <c r="O4" s="47" t="s">
        <v>77</v>
      </c>
      <c r="P4" s="47" t="s">
        <v>77</v>
      </c>
      <c r="Q4" s="47" t="s">
        <v>77</v>
      </c>
      <c r="R4" s="47" t="s">
        <v>77</v>
      </c>
      <c r="S4" s="47"/>
      <c r="T4" s="48" t="s">
        <v>77</v>
      </c>
      <c r="U4" s="311" t="s">
        <v>228</v>
      </c>
      <c r="V4" s="311"/>
      <c r="W4" s="311"/>
      <c r="X4" s="311"/>
      <c r="Y4" s="311"/>
      <c r="Z4" s="311"/>
      <c r="AA4" s="311"/>
      <c r="AB4" s="311"/>
      <c r="AC4" s="311"/>
      <c r="AD4" s="311"/>
      <c r="AE4" s="311"/>
      <c r="AF4" s="311"/>
      <c r="AG4" s="311"/>
    </row>
    <row r="5" spans="1:33" ht="19.5" customHeight="1" x14ac:dyDescent="0.4">
      <c r="A5" s="49" t="s">
        <v>79</v>
      </c>
      <c r="B5" s="42"/>
      <c r="C5" s="323" t="s">
        <v>80</v>
      </c>
      <c r="D5" s="323"/>
      <c r="E5" s="324"/>
      <c r="F5" s="50"/>
      <c r="G5" s="320"/>
      <c r="H5" s="322"/>
      <c r="I5" s="51"/>
      <c r="J5" s="51"/>
      <c r="K5" s="51"/>
      <c r="L5" s="51"/>
      <c r="M5" s="51"/>
      <c r="N5" s="42"/>
      <c r="O5" s="52" t="s">
        <v>81</v>
      </c>
      <c r="P5" s="53" t="s">
        <v>82</v>
      </c>
      <c r="Q5" s="53" t="s">
        <v>82</v>
      </c>
      <c r="R5" s="53" t="s">
        <v>82</v>
      </c>
      <c r="S5" s="53" t="s">
        <v>82</v>
      </c>
      <c r="T5" s="54"/>
    </row>
    <row r="6" spans="1:33" ht="44.25" customHeight="1" x14ac:dyDescent="0.35">
      <c r="A6" s="55"/>
      <c r="B6" s="56" t="s">
        <v>83</v>
      </c>
      <c r="C6" s="57" t="s">
        <v>84</v>
      </c>
      <c r="D6" s="57" t="s">
        <v>85</v>
      </c>
      <c r="E6" s="57" t="s">
        <v>86</v>
      </c>
      <c r="F6" s="58" t="s">
        <v>87</v>
      </c>
      <c r="G6" s="59" t="s">
        <v>162</v>
      </c>
      <c r="H6" s="60" t="s">
        <v>88</v>
      </c>
      <c r="I6" s="61" t="s">
        <v>89</v>
      </c>
      <c r="J6" s="61" t="s">
        <v>90</v>
      </c>
      <c r="K6" s="61" t="s">
        <v>91</v>
      </c>
      <c r="L6" s="61" t="s">
        <v>92</v>
      </c>
      <c r="M6" s="61" t="s">
        <v>93</v>
      </c>
      <c r="N6" s="61" t="s">
        <v>94</v>
      </c>
      <c r="O6" s="62" t="s">
        <v>89</v>
      </c>
      <c r="P6" s="62" t="s">
        <v>90</v>
      </c>
      <c r="Q6" s="63" t="s">
        <v>91</v>
      </c>
      <c r="R6" s="63" t="s">
        <v>92</v>
      </c>
      <c r="S6" s="63" t="s">
        <v>93</v>
      </c>
      <c r="T6" s="63" t="s">
        <v>94</v>
      </c>
    </row>
    <row r="7" spans="1:33" ht="20.100000000000001" customHeight="1" x14ac:dyDescent="0.3">
      <c r="A7" s="55"/>
      <c r="B7" s="251" t="s">
        <v>95</v>
      </c>
      <c r="C7" s="65">
        <v>12</v>
      </c>
      <c r="D7" s="66"/>
      <c r="E7" s="66" t="s">
        <v>77</v>
      </c>
      <c r="F7" s="67">
        <v>0</v>
      </c>
      <c r="G7" s="68">
        <v>0.1</v>
      </c>
      <c r="H7" s="69">
        <v>0</v>
      </c>
      <c r="I7" s="70">
        <f>G7*$F7</f>
        <v>0</v>
      </c>
      <c r="J7" s="70">
        <f t="shared" ref="J7:M19" si="0">I7*1.03</f>
        <v>0</v>
      </c>
      <c r="K7" s="70">
        <f t="shared" si="0"/>
        <v>0</v>
      </c>
      <c r="L7" s="70">
        <f t="shared" si="0"/>
        <v>0</v>
      </c>
      <c r="M7" s="70">
        <f t="shared" si="0"/>
        <v>0</v>
      </c>
      <c r="N7" s="71">
        <f>SUM(I7:M7)</f>
        <v>0</v>
      </c>
      <c r="O7" s="72">
        <f t="shared" ref="O7:O12" si="1">F7*H7</f>
        <v>0</v>
      </c>
      <c r="P7" s="72">
        <f>O7*1.03</f>
        <v>0</v>
      </c>
      <c r="Q7" s="72">
        <f t="shared" ref="Q7:S7" si="2">P7*1.03</f>
        <v>0</v>
      </c>
      <c r="R7" s="72">
        <f t="shared" si="2"/>
        <v>0</v>
      </c>
      <c r="S7" s="72">
        <f t="shared" si="2"/>
        <v>0</v>
      </c>
      <c r="T7" s="73">
        <f>SUM(O7:S7)</f>
        <v>0</v>
      </c>
      <c r="U7" s="74"/>
      <c r="V7" s="74"/>
    </row>
    <row r="8" spans="1:33" ht="20.100000000000001" customHeight="1" x14ac:dyDescent="0.3">
      <c r="A8" s="75"/>
      <c r="B8" s="252" t="s">
        <v>163</v>
      </c>
      <c r="C8" s="77"/>
      <c r="D8" s="78"/>
      <c r="E8" s="78"/>
      <c r="F8" s="67">
        <v>0</v>
      </c>
      <c r="G8" s="79">
        <v>0</v>
      </c>
      <c r="H8" s="69">
        <v>0</v>
      </c>
      <c r="I8" s="70">
        <f t="shared" ref="I8:I12" si="3">G8*$F8</f>
        <v>0</v>
      </c>
      <c r="J8" s="70">
        <f t="shared" si="0"/>
        <v>0</v>
      </c>
      <c r="K8" s="80">
        <f t="shared" si="0"/>
        <v>0</v>
      </c>
      <c r="L8" s="80">
        <f t="shared" si="0"/>
        <v>0</v>
      </c>
      <c r="M8" s="80">
        <f t="shared" si="0"/>
        <v>0</v>
      </c>
      <c r="N8" s="71">
        <f t="shared" ref="N8:N20" si="4">SUM(I8:M8)</f>
        <v>0</v>
      </c>
      <c r="O8" s="81">
        <f t="shared" si="1"/>
        <v>0</v>
      </c>
      <c r="P8" s="81">
        <f t="shared" ref="P8:S12" si="5">O8*1.03</f>
        <v>0</v>
      </c>
      <c r="Q8" s="81">
        <f t="shared" si="5"/>
        <v>0</v>
      </c>
      <c r="R8" s="81">
        <f t="shared" si="5"/>
        <v>0</v>
      </c>
      <c r="S8" s="81">
        <f t="shared" si="5"/>
        <v>0</v>
      </c>
      <c r="T8" s="73">
        <f t="shared" ref="T8:T20" si="6">SUM(O8:S8)</f>
        <v>0</v>
      </c>
      <c r="U8" s="74"/>
      <c r="V8" s="74"/>
    </row>
    <row r="9" spans="1:33" ht="20.100000000000001" customHeight="1" x14ac:dyDescent="0.3">
      <c r="A9" s="75"/>
      <c r="B9" s="252" t="s">
        <v>163</v>
      </c>
      <c r="C9" s="77"/>
      <c r="D9" s="78"/>
      <c r="E9" s="78"/>
      <c r="F9" s="67">
        <v>0</v>
      </c>
      <c r="G9" s="79">
        <v>0</v>
      </c>
      <c r="H9" s="69">
        <v>0</v>
      </c>
      <c r="I9" s="70">
        <f t="shared" si="3"/>
        <v>0</v>
      </c>
      <c r="J9" s="70">
        <f t="shared" si="0"/>
        <v>0</v>
      </c>
      <c r="K9" s="80">
        <f t="shared" si="0"/>
        <v>0</v>
      </c>
      <c r="L9" s="80">
        <f t="shared" si="0"/>
        <v>0</v>
      </c>
      <c r="M9" s="80">
        <f t="shared" si="0"/>
        <v>0</v>
      </c>
      <c r="N9" s="71">
        <f t="shared" si="4"/>
        <v>0</v>
      </c>
      <c r="O9" s="81">
        <f t="shared" si="1"/>
        <v>0</v>
      </c>
      <c r="P9" s="81">
        <f t="shared" si="5"/>
        <v>0</v>
      </c>
      <c r="Q9" s="81">
        <f t="shared" si="5"/>
        <v>0</v>
      </c>
      <c r="R9" s="81">
        <f t="shared" si="5"/>
        <v>0</v>
      </c>
      <c r="S9" s="81">
        <f t="shared" si="5"/>
        <v>0</v>
      </c>
      <c r="T9" s="73">
        <f t="shared" si="6"/>
        <v>0</v>
      </c>
      <c r="U9" s="74"/>
      <c r="V9" s="74"/>
    </row>
    <row r="10" spans="1:33" ht="20.100000000000001" customHeight="1" x14ac:dyDescent="0.3">
      <c r="A10" s="75"/>
      <c r="B10" s="252" t="s">
        <v>83</v>
      </c>
      <c r="C10" s="77"/>
      <c r="D10" s="78"/>
      <c r="E10" s="78"/>
      <c r="F10" s="67">
        <v>0</v>
      </c>
      <c r="G10" s="79">
        <v>0</v>
      </c>
      <c r="H10" s="69">
        <v>0</v>
      </c>
      <c r="I10" s="70">
        <f t="shared" si="3"/>
        <v>0</v>
      </c>
      <c r="J10" s="70">
        <f t="shared" si="0"/>
        <v>0</v>
      </c>
      <c r="K10" s="80">
        <f t="shared" si="0"/>
        <v>0</v>
      </c>
      <c r="L10" s="80">
        <f t="shared" si="0"/>
        <v>0</v>
      </c>
      <c r="M10" s="80">
        <f t="shared" si="0"/>
        <v>0</v>
      </c>
      <c r="N10" s="71">
        <f t="shared" si="4"/>
        <v>0</v>
      </c>
      <c r="O10" s="81">
        <f t="shared" si="1"/>
        <v>0</v>
      </c>
      <c r="P10" s="81">
        <f t="shared" si="5"/>
        <v>0</v>
      </c>
      <c r="Q10" s="81">
        <f t="shared" si="5"/>
        <v>0</v>
      </c>
      <c r="R10" s="81">
        <f t="shared" si="5"/>
        <v>0</v>
      </c>
      <c r="S10" s="81">
        <f t="shared" si="5"/>
        <v>0</v>
      </c>
      <c r="T10" s="73">
        <f t="shared" si="6"/>
        <v>0</v>
      </c>
      <c r="U10" s="74"/>
      <c r="V10" s="74"/>
    </row>
    <row r="11" spans="1:33" ht="20.100000000000001" customHeight="1" x14ac:dyDescent="0.3">
      <c r="A11" s="75"/>
      <c r="B11" s="252" t="s">
        <v>83</v>
      </c>
      <c r="C11" s="77"/>
      <c r="D11" s="78"/>
      <c r="E11" s="78"/>
      <c r="F11" s="67">
        <v>5000</v>
      </c>
      <c r="G11" s="79">
        <v>0</v>
      </c>
      <c r="H11" s="69">
        <v>0</v>
      </c>
      <c r="I11" s="70">
        <f t="shared" si="3"/>
        <v>0</v>
      </c>
      <c r="J11" s="70">
        <f t="shared" si="0"/>
        <v>0</v>
      </c>
      <c r="K11" s="80">
        <f t="shared" si="0"/>
        <v>0</v>
      </c>
      <c r="L11" s="80">
        <f t="shared" si="0"/>
        <v>0</v>
      </c>
      <c r="M11" s="80">
        <f t="shared" si="0"/>
        <v>0</v>
      </c>
      <c r="N11" s="71">
        <f t="shared" si="4"/>
        <v>0</v>
      </c>
      <c r="O11" s="81">
        <f t="shared" si="1"/>
        <v>0</v>
      </c>
      <c r="P11" s="81">
        <f t="shared" si="5"/>
        <v>0</v>
      </c>
      <c r="Q11" s="81">
        <f t="shared" si="5"/>
        <v>0</v>
      </c>
      <c r="R11" s="81">
        <f t="shared" si="5"/>
        <v>0</v>
      </c>
      <c r="S11" s="81">
        <f t="shared" si="5"/>
        <v>0</v>
      </c>
      <c r="T11" s="73">
        <f t="shared" si="6"/>
        <v>0</v>
      </c>
      <c r="U11" s="74"/>
      <c r="V11" s="74"/>
    </row>
    <row r="12" spans="1:33" ht="20.100000000000001" customHeight="1" x14ac:dyDescent="0.3">
      <c r="A12" s="75"/>
      <c r="B12" s="252" t="s">
        <v>83</v>
      </c>
      <c r="C12" s="77"/>
      <c r="D12" s="78"/>
      <c r="E12" s="78"/>
      <c r="F12" s="67">
        <v>0</v>
      </c>
      <c r="G12" s="79">
        <v>0</v>
      </c>
      <c r="H12" s="69">
        <v>0</v>
      </c>
      <c r="I12" s="70">
        <f t="shared" si="3"/>
        <v>0</v>
      </c>
      <c r="J12" s="70">
        <f t="shared" si="0"/>
        <v>0</v>
      </c>
      <c r="K12" s="80">
        <f t="shared" si="0"/>
        <v>0</v>
      </c>
      <c r="L12" s="80">
        <f t="shared" si="0"/>
        <v>0</v>
      </c>
      <c r="M12" s="80">
        <f t="shared" si="0"/>
        <v>0</v>
      </c>
      <c r="N12" s="71">
        <f t="shared" si="4"/>
        <v>0</v>
      </c>
      <c r="O12" s="81">
        <f t="shared" si="1"/>
        <v>0</v>
      </c>
      <c r="P12" s="81">
        <f t="shared" si="5"/>
        <v>0</v>
      </c>
      <c r="Q12" s="81">
        <f t="shared" si="5"/>
        <v>0</v>
      </c>
      <c r="R12" s="81">
        <f t="shared" si="5"/>
        <v>0</v>
      </c>
      <c r="S12" s="81">
        <f t="shared" si="5"/>
        <v>0</v>
      </c>
      <c r="T12" s="73">
        <f t="shared" si="6"/>
        <v>0</v>
      </c>
      <c r="U12" s="74"/>
      <c r="V12" s="74"/>
    </row>
    <row r="13" spans="1:33" ht="20.100000000000001" customHeight="1" x14ac:dyDescent="0.3">
      <c r="A13" s="82" t="s">
        <v>96</v>
      </c>
      <c r="B13" s="83"/>
      <c r="C13" s="84"/>
      <c r="D13" s="84"/>
      <c r="E13" s="84"/>
      <c r="F13" s="84"/>
      <c r="G13" s="85"/>
      <c r="H13" s="85"/>
      <c r="I13" s="86">
        <f>SUM(I7:I12)</f>
        <v>0</v>
      </c>
      <c r="J13" s="86">
        <f>SUM(J7:J12)</f>
        <v>0</v>
      </c>
      <c r="K13" s="86">
        <f>SUM(K7:K12)</f>
        <v>0</v>
      </c>
      <c r="L13" s="86">
        <f>SUM(L7:L12)</f>
        <v>0</v>
      </c>
      <c r="M13" s="86">
        <f>SUM(M7:M12)</f>
        <v>0</v>
      </c>
      <c r="N13" s="87">
        <f>SUM(I13:M13)</f>
        <v>0</v>
      </c>
      <c r="O13" s="86">
        <f>SUM(O7:O12)</f>
        <v>0</v>
      </c>
      <c r="P13" s="86">
        <f>SUM(P7:P12)</f>
        <v>0</v>
      </c>
      <c r="Q13" s="86">
        <f>SUM(Q7:Q12)</f>
        <v>0</v>
      </c>
      <c r="R13" s="86">
        <f>SUM(R7:R12)</f>
        <v>0</v>
      </c>
      <c r="S13" s="86">
        <f>SUM(S7:S12)</f>
        <v>0</v>
      </c>
      <c r="T13" s="88">
        <f>SUM(O13:S13)</f>
        <v>0</v>
      </c>
      <c r="U13" s="74"/>
      <c r="V13" s="74" t="s">
        <v>77</v>
      </c>
    </row>
    <row r="14" spans="1:33" s="89" customFormat="1" ht="20.100000000000001" customHeight="1" x14ac:dyDescent="0.35">
      <c r="B14" s="90" t="s">
        <v>97</v>
      </c>
    </row>
    <row r="15" spans="1:33" s="89" customFormat="1" ht="29.4" x14ac:dyDescent="0.35">
      <c r="B15" s="90"/>
      <c r="F15" s="303" t="s">
        <v>266</v>
      </c>
      <c r="G15" s="300" t="s">
        <v>267</v>
      </c>
      <c r="I15" s="89" t="s">
        <v>268</v>
      </c>
    </row>
    <row r="16" spans="1:33" ht="20.100000000000001" customHeight="1" x14ac:dyDescent="0.3">
      <c r="A16" s="55"/>
      <c r="B16" s="249" t="s">
        <v>265</v>
      </c>
      <c r="C16" s="77"/>
      <c r="D16" s="78"/>
      <c r="E16" s="78"/>
      <c r="F16" s="67">
        <v>0</v>
      </c>
      <c r="G16" s="299">
        <v>0</v>
      </c>
      <c r="H16" s="69">
        <v>0</v>
      </c>
      <c r="I16" s="70">
        <f>G16*$F16</f>
        <v>0</v>
      </c>
      <c r="J16" s="70">
        <f>I16*1.03</f>
        <v>0</v>
      </c>
      <c r="K16" s="80">
        <f t="shared" si="0"/>
        <v>0</v>
      </c>
      <c r="L16" s="80">
        <f t="shared" si="0"/>
        <v>0</v>
      </c>
      <c r="M16" s="80">
        <f t="shared" si="0"/>
        <v>0</v>
      </c>
      <c r="N16" s="71">
        <f t="shared" si="4"/>
        <v>0</v>
      </c>
      <c r="O16" s="81">
        <f t="shared" ref="O16:O20" si="7">F16*H16</f>
        <v>0</v>
      </c>
      <c r="P16" s="81">
        <f t="shared" ref="P16:S20" si="8">O16*1.03</f>
        <v>0</v>
      </c>
      <c r="Q16" s="81">
        <f t="shared" si="8"/>
        <v>0</v>
      </c>
      <c r="R16" s="81">
        <f t="shared" si="8"/>
        <v>0</v>
      </c>
      <c r="S16" s="81">
        <f t="shared" si="8"/>
        <v>0</v>
      </c>
      <c r="T16" s="73">
        <f t="shared" si="6"/>
        <v>0</v>
      </c>
      <c r="U16" s="301"/>
      <c r="V16" s="74"/>
    </row>
    <row r="17" spans="1:33" ht="20.100000000000001" customHeight="1" x14ac:dyDescent="0.3">
      <c r="A17" s="55"/>
      <c r="B17" s="249" t="s">
        <v>265</v>
      </c>
      <c r="C17" s="77"/>
      <c r="D17" s="78"/>
      <c r="E17" s="78"/>
      <c r="F17" s="67">
        <v>0</v>
      </c>
      <c r="G17" s="299">
        <v>0</v>
      </c>
      <c r="H17" s="69">
        <v>0</v>
      </c>
      <c r="I17" s="70">
        <f t="shared" ref="I17:I20" si="9">G17*$F17</f>
        <v>0</v>
      </c>
      <c r="J17" s="70">
        <f t="shared" si="0"/>
        <v>0</v>
      </c>
      <c r="K17" s="92">
        <f t="shared" si="0"/>
        <v>0</v>
      </c>
      <c r="L17" s="92">
        <f t="shared" si="0"/>
        <v>0</v>
      </c>
      <c r="M17" s="92">
        <f t="shared" si="0"/>
        <v>0</v>
      </c>
      <c r="N17" s="71">
        <f t="shared" si="4"/>
        <v>0</v>
      </c>
      <c r="O17" s="81">
        <f t="shared" si="7"/>
        <v>0</v>
      </c>
      <c r="P17" s="81">
        <f t="shared" si="8"/>
        <v>0</v>
      </c>
      <c r="Q17" s="81">
        <f t="shared" si="8"/>
        <v>0</v>
      </c>
      <c r="R17" s="81">
        <f t="shared" si="8"/>
        <v>0</v>
      </c>
      <c r="S17" s="81">
        <f t="shared" si="8"/>
        <v>0</v>
      </c>
      <c r="T17" s="73">
        <f t="shared" si="6"/>
        <v>0</v>
      </c>
      <c r="U17" s="74"/>
      <c r="V17" s="74"/>
    </row>
    <row r="18" spans="1:33" ht="20.100000000000001" customHeight="1" x14ac:dyDescent="0.3">
      <c r="A18" s="55"/>
      <c r="B18" s="249"/>
      <c r="C18" s="296"/>
      <c r="D18" s="78"/>
      <c r="E18" s="78"/>
      <c r="F18" s="67" t="s">
        <v>263</v>
      </c>
      <c r="G18" s="297" t="s">
        <v>269</v>
      </c>
      <c r="H18" s="69"/>
      <c r="I18" s="70"/>
      <c r="J18" s="70"/>
      <c r="K18" s="92"/>
      <c r="L18" s="92"/>
      <c r="M18" s="92"/>
      <c r="N18" s="71"/>
      <c r="O18" s="81"/>
      <c r="P18" s="81"/>
      <c r="Q18" s="81"/>
      <c r="R18" s="81"/>
      <c r="S18" s="81"/>
      <c r="T18" s="73"/>
      <c r="U18" s="74"/>
      <c r="V18" s="74"/>
    </row>
    <row r="19" spans="1:33" ht="15.75" customHeight="1" x14ac:dyDescent="0.3">
      <c r="A19" s="55"/>
      <c r="B19" s="250" t="s">
        <v>264</v>
      </c>
      <c r="C19" s="93"/>
      <c r="D19" s="93"/>
      <c r="E19" s="93"/>
      <c r="F19" s="67">
        <v>0</v>
      </c>
      <c r="G19" s="298">
        <v>0</v>
      </c>
      <c r="H19" s="69">
        <v>0</v>
      </c>
      <c r="I19" s="70">
        <f t="shared" si="9"/>
        <v>0</v>
      </c>
      <c r="J19" s="70">
        <f t="shared" si="0"/>
        <v>0</v>
      </c>
      <c r="K19" s="92">
        <f t="shared" si="0"/>
        <v>0</v>
      </c>
      <c r="L19" s="92">
        <f t="shared" si="0"/>
        <v>0</v>
      </c>
      <c r="M19" s="92">
        <f t="shared" si="0"/>
        <v>0</v>
      </c>
      <c r="N19" s="71">
        <f t="shared" si="4"/>
        <v>0</v>
      </c>
      <c r="O19" s="81">
        <f t="shared" si="7"/>
        <v>0</v>
      </c>
      <c r="P19" s="81">
        <f t="shared" si="8"/>
        <v>0</v>
      </c>
      <c r="Q19" s="81">
        <f t="shared" si="8"/>
        <v>0</v>
      </c>
      <c r="R19" s="81">
        <f t="shared" si="8"/>
        <v>0</v>
      </c>
      <c r="S19" s="81">
        <f t="shared" si="8"/>
        <v>0</v>
      </c>
      <c r="T19" s="73">
        <f t="shared" si="6"/>
        <v>0</v>
      </c>
      <c r="U19" s="74"/>
      <c r="V19" s="74"/>
    </row>
    <row r="20" spans="1:33" ht="18" customHeight="1" x14ac:dyDescent="0.3">
      <c r="A20" s="55"/>
      <c r="B20" s="250" t="s">
        <v>264</v>
      </c>
      <c r="C20" s="93"/>
      <c r="D20" s="93"/>
      <c r="E20" s="93"/>
      <c r="F20" s="67">
        <v>0</v>
      </c>
      <c r="G20" s="298">
        <v>0</v>
      </c>
      <c r="H20" s="69">
        <v>0</v>
      </c>
      <c r="I20" s="70">
        <f t="shared" si="9"/>
        <v>0</v>
      </c>
      <c r="J20" s="70">
        <f t="shared" ref="J20:M20" si="10">I20*1.03</f>
        <v>0</v>
      </c>
      <c r="K20" s="92">
        <f t="shared" si="10"/>
        <v>0</v>
      </c>
      <c r="L20" s="92">
        <f t="shared" si="10"/>
        <v>0</v>
      </c>
      <c r="M20" s="92">
        <f t="shared" si="10"/>
        <v>0</v>
      </c>
      <c r="N20" s="71">
        <f t="shared" si="4"/>
        <v>0</v>
      </c>
      <c r="O20" s="81">
        <f t="shared" si="7"/>
        <v>0</v>
      </c>
      <c r="P20" s="81">
        <f t="shared" si="8"/>
        <v>0</v>
      </c>
      <c r="Q20" s="81">
        <f t="shared" si="8"/>
        <v>0</v>
      </c>
      <c r="R20" s="81">
        <f t="shared" si="8"/>
        <v>0</v>
      </c>
      <c r="S20" s="81">
        <f t="shared" si="8"/>
        <v>0</v>
      </c>
      <c r="T20" s="73">
        <f t="shared" si="6"/>
        <v>0</v>
      </c>
      <c r="U20" s="74"/>
      <c r="V20" s="74"/>
    </row>
    <row r="21" spans="1:33" ht="20.100000000000001" customHeight="1" x14ac:dyDescent="0.3">
      <c r="A21" s="82" t="s">
        <v>98</v>
      </c>
      <c r="B21" s="83"/>
      <c r="C21" s="84"/>
      <c r="D21" s="84"/>
      <c r="E21" s="84"/>
      <c r="F21" s="84"/>
      <c r="G21" s="85"/>
      <c r="H21" s="85"/>
      <c r="I21" s="86">
        <f>SUM(I16:I20)</f>
        <v>0</v>
      </c>
      <c r="J21" s="86">
        <f>SUM(J16:J20)</f>
        <v>0</v>
      </c>
      <c r="K21" s="86">
        <f>SUM(K16:K20)</f>
        <v>0</v>
      </c>
      <c r="L21" s="86">
        <f>SUM(L16:L20)</f>
        <v>0</v>
      </c>
      <c r="M21" s="86">
        <f>SUM(M16:M20)</f>
        <v>0</v>
      </c>
      <c r="N21" s="87">
        <f>SUM(I21:M21)</f>
        <v>0</v>
      </c>
      <c r="O21" s="86">
        <f>SUM(O7:O20)</f>
        <v>0</v>
      </c>
      <c r="P21" s="86">
        <f>SUM(P7:P20)</f>
        <v>0</v>
      </c>
      <c r="Q21" s="86">
        <f>SUM(Q7:Q20)</f>
        <v>0</v>
      </c>
      <c r="R21" s="86">
        <f>SUM(R7:R20)</f>
        <v>0</v>
      </c>
      <c r="S21" s="86">
        <f>SUM(S7:S20)</f>
        <v>0</v>
      </c>
      <c r="T21" s="88">
        <f>SUM(O21:S21)</f>
        <v>0</v>
      </c>
      <c r="U21" s="74"/>
      <c r="V21" s="74" t="s">
        <v>77</v>
      </c>
    </row>
    <row r="22" spans="1:33" ht="20.100000000000001" customHeight="1" x14ac:dyDescent="0.35">
      <c r="B22" s="94" t="s">
        <v>99</v>
      </c>
      <c r="C22" s="95"/>
      <c r="D22" s="95"/>
      <c r="E22" s="95"/>
      <c r="F22" s="293"/>
      <c r="G22" s="96"/>
      <c r="H22" s="97"/>
      <c r="I22" s="98"/>
      <c r="J22" s="98"/>
      <c r="K22" s="98"/>
      <c r="L22" s="98"/>
      <c r="M22" s="98"/>
      <c r="N22" s="99"/>
      <c r="O22" s="100"/>
      <c r="P22" s="100"/>
      <c r="Q22" s="100"/>
      <c r="R22" s="100"/>
      <c r="S22" s="100"/>
      <c r="T22" s="101"/>
      <c r="V22" s="36" t="s">
        <v>77</v>
      </c>
    </row>
    <row r="23" spans="1:33" ht="31.5" customHeight="1" x14ac:dyDescent="0.3">
      <c r="A23" s="55"/>
      <c r="B23" s="42" t="s">
        <v>100</v>
      </c>
      <c r="C23" s="102" t="s">
        <v>84</v>
      </c>
      <c r="D23" s="103" t="s">
        <v>85</v>
      </c>
      <c r="E23" s="104" t="s">
        <v>86</v>
      </c>
      <c r="F23" s="105" t="s">
        <v>101</v>
      </c>
      <c r="G23" s="106"/>
      <c r="H23" s="107" t="s">
        <v>102</v>
      </c>
      <c r="I23" s="325" t="s">
        <v>232</v>
      </c>
      <c r="J23" s="325"/>
      <c r="K23" s="325"/>
      <c r="L23" s="325"/>
      <c r="M23" s="325"/>
      <c r="N23" s="108"/>
      <c r="O23" s="109"/>
      <c r="P23" s="110"/>
      <c r="Q23" s="100"/>
      <c r="R23" s="100"/>
      <c r="S23" s="100"/>
      <c r="T23" s="111"/>
      <c r="V23" s="36" t="s">
        <v>77</v>
      </c>
    </row>
    <row r="24" spans="1:33" ht="20.25" customHeight="1" x14ac:dyDescent="0.3">
      <c r="A24" s="55"/>
      <c r="B24" s="64" t="str">
        <f t="shared" ref="B24:B29" si="11">B7</f>
        <v xml:space="preserve">PI </v>
      </c>
      <c r="C24" s="112"/>
      <c r="D24" s="113"/>
      <c r="E24" s="114"/>
      <c r="F24" s="115" t="e">
        <f>(16254+(F7*(0.0765+0.014+0.1)))/F7</f>
        <v>#DIV/0!</v>
      </c>
      <c r="G24" s="116"/>
      <c r="H24" s="115">
        <v>0.28999999999999998</v>
      </c>
      <c r="I24" s="117" t="e">
        <f t="shared" ref="I24:I29" si="12">I7*$F24</f>
        <v>#DIV/0!</v>
      </c>
      <c r="J24" s="117" t="e">
        <f>(J7*$F24)*1.05</f>
        <v>#DIV/0!</v>
      </c>
      <c r="K24" s="117" t="e">
        <f t="shared" ref="K24:M24" si="13">(K7*$F24)*1.05</f>
        <v>#DIV/0!</v>
      </c>
      <c r="L24" s="117" t="e">
        <f t="shared" si="13"/>
        <v>#DIV/0!</v>
      </c>
      <c r="M24" s="117" t="e">
        <f t="shared" si="13"/>
        <v>#DIV/0!</v>
      </c>
      <c r="N24" s="118" t="e">
        <f>SUM(I24:M24)</f>
        <v>#DIV/0!</v>
      </c>
      <c r="O24" s="119" t="e">
        <f>O7*F24</f>
        <v>#DIV/0!</v>
      </c>
      <c r="P24" s="119">
        <f>P7*E24</f>
        <v>0</v>
      </c>
      <c r="Q24" s="119" t="e">
        <f>Q7*#REF!</f>
        <v>#REF!</v>
      </c>
      <c r="R24" s="119">
        <f>R7*G24</f>
        <v>0</v>
      </c>
      <c r="S24" s="119">
        <f>S7*H24</f>
        <v>0</v>
      </c>
      <c r="T24" s="120" t="e">
        <f>SUM(O24:S24)</f>
        <v>#DIV/0!</v>
      </c>
      <c r="U24" s="291" t="s">
        <v>271</v>
      </c>
      <c r="V24" s="292"/>
      <c r="W24" s="292"/>
      <c r="X24" s="292"/>
      <c r="Y24" s="292"/>
      <c r="Z24" s="292"/>
      <c r="AA24" s="292"/>
      <c r="AB24" s="292"/>
      <c r="AC24" s="292"/>
      <c r="AD24" s="292"/>
      <c r="AE24" s="292"/>
      <c r="AF24" s="292"/>
      <c r="AG24" s="292"/>
    </row>
    <row r="25" spans="1:33" ht="20.100000000000001" customHeight="1" x14ac:dyDescent="0.3">
      <c r="A25" s="55"/>
      <c r="B25" s="76" t="str">
        <f t="shared" si="11"/>
        <v>Co-investigator</v>
      </c>
      <c r="C25" s="112"/>
      <c r="D25" s="113"/>
      <c r="E25" s="114"/>
      <c r="F25" s="115" t="e">
        <f t="shared" ref="F25:F29" si="14">(16254+(F8*(0.0765+0.014+0.1)))/F8</f>
        <v>#DIV/0!</v>
      </c>
      <c r="G25" s="116"/>
      <c r="H25" s="115">
        <v>0.28999999999999998</v>
      </c>
      <c r="I25" s="117" t="e">
        <f t="shared" si="12"/>
        <v>#DIV/0!</v>
      </c>
      <c r="J25" s="117" t="e">
        <f t="shared" ref="J25:M25" si="15">(J8*$F25)*1.05</f>
        <v>#DIV/0!</v>
      </c>
      <c r="K25" s="117" t="e">
        <f t="shared" si="15"/>
        <v>#DIV/0!</v>
      </c>
      <c r="L25" s="117" t="e">
        <f t="shared" si="15"/>
        <v>#DIV/0!</v>
      </c>
      <c r="M25" s="117" t="e">
        <f t="shared" si="15"/>
        <v>#DIV/0!</v>
      </c>
      <c r="N25" s="118" t="e">
        <f>SUM(I25:M25)</f>
        <v>#DIV/0!</v>
      </c>
      <c r="O25" s="119" t="e">
        <f>O8*F25</f>
        <v>#DIV/0!</v>
      </c>
      <c r="P25" s="119">
        <f>P8*E25</f>
        <v>0</v>
      </c>
      <c r="Q25" s="119" t="e">
        <f>Q8*#REF!</f>
        <v>#REF!</v>
      </c>
      <c r="R25" s="119">
        <f>R8*G25</f>
        <v>0</v>
      </c>
      <c r="S25" s="119">
        <f>S8*H25</f>
        <v>0</v>
      </c>
      <c r="T25" s="120" t="e">
        <f>SUM(O25:S25)</f>
        <v>#DIV/0!</v>
      </c>
      <c r="V25" s="36" t="s">
        <v>77</v>
      </c>
    </row>
    <row r="26" spans="1:33" ht="20.100000000000001" customHeight="1" x14ac:dyDescent="0.3">
      <c r="A26" s="55"/>
      <c r="B26" s="76" t="str">
        <f t="shared" si="11"/>
        <v>Co-investigator</v>
      </c>
      <c r="C26" s="112"/>
      <c r="D26" s="113"/>
      <c r="E26" s="114"/>
      <c r="F26" s="115" t="e">
        <f t="shared" si="14"/>
        <v>#DIV/0!</v>
      </c>
      <c r="G26" s="116"/>
      <c r="H26" s="115">
        <v>0.28999999999999998</v>
      </c>
      <c r="I26" s="117" t="e">
        <f t="shared" si="12"/>
        <v>#DIV/0!</v>
      </c>
      <c r="J26" s="117" t="e">
        <f t="shared" ref="J26:M26" si="16">(J9*$F26)*1.05</f>
        <v>#DIV/0!</v>
      </c>
      <c r="K26" s="117" t="e">
        <f t="shared" si="16"/>
        <v>#DIV/0!</v>
      </c>
      <c r="L26" s="117" t="e">
        <f t="shared" si="16"/>
        <v>#DIV/0!</v>
      </c>
      <c r="M26" s="117" t="e">
        <f t="shared" si="16"/>
        <v>#DIV/0!</v>
      </c>
      <c r="N26" s="118" t="e">
        <f t="shared" ref="N26:N31" si="17">SUM(I26:M26)</f>
        <v>#DIV/0!</v>
      </c>
      <c r="O26" s="119" t="e">
        <f>O8*F26</f>
        <v>#DIV/0!</v>
      </c>
      <c r="P26" s="119">
        <f>P8*E26</f>
        <v>0</v>
      </c>
      <c r="Q26" s="119" t="e">
        <f>Q8*#REF!</f>
        <v>#REF!</v>
      </c>
      <c r="R26" s="119">
        <f>R8*G26</f>
        <v>0</v>
      </c>
      <c r="S26" s="119">
        <f>S8*H26</f>
        <v>0</v>
      </c>
      <c r="T26" s="120" t="e">
        <f t="shared" ref="T26:T31" si="18">SUM(O26:S26)</f>
        <v>#DIV/0!</v>
      </c>
      <c r="V26" s="36" t="s">
        <v>77</v>
      </c>
    </row>
    <row r="27" spans="1:33" ht="20.100000000000001" customHeight="1" x14ac:dyDescent="0.3">
      <c r="A27" s="55"/>
      <c r="B27" s="76" t="str">
        <f t="shared" si="11"/>
        <v>Key Personnel</v>
      </c>
      <c r="C27" s="112"/>
      <c r="D27" s="113"/>
      <c r="E27" s="114"/>
      <c r="F27" s="115" t="e">
        <f t="shared" si="14"/>
        <v>#DIV/0!</v>
      </c>
      <c r="G27" s="116"/>
      <c r="H27" s="115">
        <v>0.28999999999999998</v>
      </c>
      <c r="I27" s="117" t="e">
        <f t="shared" si="12"/>
        <v>#DIV/0!</v>
      </c>
      <c r="J27" s="117" t="e">
        <f t="shared" ref="J27:M27" si="19">(J10*$F27)*1.05</f>
        <v>#DIV/0!</v>
      </c>
      <c r="K27" s="117" t="e">
        <f t="shared" si="19"/>
        <v>#DIV/0!</v>
      </c>
      <c r="L27" s="117" t="e">
        <f t="shared" si="19"/>
        <v>#DIV/0!</v>
      </c>
      <c r="M27" s="117" t="e">
        <f t="shared" si="19"/>
        <v>#DIV/0!</v>
      </c>
      <c r="N27" s="118" t="e">
        <f>SUM(I27:M27)</f>
        <v>#DIV/0!</v>
      </c>
      <c r="O27" s="119" t="e">
        <f>O10*F27</f>
        <v>#DIV/0!</v>
      </c>
      <c r="P27" s="119">
        <f>P10*E27</f>
        <v>0</v>
      </c>
      <c r="Q27" s="119" t="e">
        <f>Q10*#REF!</f>
        <v>#REF!</v>
      </c>
      <c r="R27" s="119">
        <f>R10*G27</f>
        <v>0</v>
      </c>
      <c r="S27" s="119">
        <f>S10*H27</f>
        <v>0</v>
      </c>
      <c r="T27" s="120" t="e">
        <f>SUM(O27:S27)</f>
        <v>#DIV/0!</v>
      </c>
      <c r="V27" s="36" t="s">
        <v>77</v>
      </c>
    </row>
    <row r="28" spans="1:33" ht="20.100000000000001" customHeight="1" x14ac:dyDescent="0.3">
      <c r="A28" s="55"/>
      <c r="B28" s="76" t="str">
        <f t="shared" si="11"/>
        <v>Key Personnel</v>
      </c>
      <c r="C28" s="112"/>
      <c r="D28" s="113"/>
      <c r="E28" s="114"/>
      <c r="F28" s="115">
        <f>(16254+(F11*(0.0765+0.014+0.1)))/F11</f>
        <v>3.4413</v>
      </c>
      <c r="G28" s="116"/>
      <c r="H28" s="115">
        <v>0.28999999999999998</v>
      </c>
      <c r="I28" s="117">
        <f t="shared" si="12"/>
        <v>0</v>
      </c>
      <c r="J28" s="117">
        <f t="shared" ref="J28:M28" si="20">(J11*$F28)*1.05</f>
        <v>0</v>
      </c>
      <c r="K28" s="117">
        <f t="shared" si="20"/>
        <v>0</v>
      </c>
      <c r="L28" s="117">
        <f t="shared" si="20"/>
        <v>0</v>
      </c>
      <c r="M28" s="117">
        <f t="shared" si="20"/>
        <v>0</v>
      </c>
      <c r="N28" s="118">
        <f>SUM(I28:M28)</f>
        <v>0</v>
      </c>
      <c r="O28" s="119">
        <f>O11*F28</f>
        <v>0</v>
      </c>
      <c r="P28" s="119">
        <f>P11*E28</f>
        <v>0</v>
      </c>
      <c r="Q28" s="119" t="e">
        <f>Q11*#REF!</f>
        <v>#REF!</v>
      </c>
      <c r="R28" s="119">
        <f>R11*G28</f>
        <v>0</v>
      </c>
      <c r="S28" s="119">
        <f>S11*H28</f>
        <v>0</v>
      </c>
      <c r="T28" s="120" t="e">
        <f>SUM(O28:S28)</f>
        <v>#REF!</v>
      </c>
      <c r="V28" s="36" t="s">
        <v>77</v>
      </c>
    </row>
    <row r="29" spans="1:33" ht="20.100000000000001" customHeight="1" x14ac:dyDescent="0.3">
      <c r="A29" s="55"/>
      <c r="B29" s="76" t="str">
        <f t="shared" si="11"/>
        <v>Key Personnel</v>
      </c>
      <c r="C29" s="112"/>
      <c r="D29" s="113"/>
      <c r="E29" s="114"/>
      <c r="F29" s="115" t="e">
        <f t="shared" si="14"/>
        <v>#DIV/0!</v>
      </c>
      <c r="G29" s="116"/>
      <c r="H29" s="115">
        <v>0.28999999999999998</v>
      </c>
      <c r="I29" s="117" t="e">
        <f t="shared" si="12"/>
        <v>#DIV/0!</v>
      </c>
      <c r="J29" s="117" t="e">
        <f t="shared" ref="J29:M29" si="21">(J12*$F29)*1.05</f>
        <v>#DIV/0!</v>
      </c>
      <c r="K29" s="117" t="e">
        <f t="shared" si="21"/>
        <v>#DIV/0!</v>
      </c>
      <c r="L29" s="117" t="e">
        <f t="shared" si="21"/>
        <v>#DIV/0!</v>
      </c>
      <c r="M29" s="117" t="e">
        <f t="shared" si="21"/>
        <v>#DIV/0!</v>
      </c>
      <c r="N29" s="118" t="e">
        <f>SUM(I29:M29)</f>
        <v>#DIV/0!</v>
      </c>
      <c r="O29" s="119" t="e">
        <f>#REF!*F29</f>
        <v>#REF!</v>
      </c>
      <c r="P29" s="119" t="e">
        <f>#REF!*E29</f>
        <v>#REF!</v>
      </c>
      <c r="Q29" s="119" t="e">
        <f>#REF!*#REF!</f>
        <v>#REF!</v>
      </c>
      <c r="R29" s="119" t="e">
        <f>#REF!*G29</f>
        <v>#REF!</v>
      </c>
      <c r="S29" s="119" t="e">
        <f>#REF!*H29</f>
        <v>#REF!</v>
      </c>
      <c r="T29" s="120" t="e">
        <f>SUM(O29:S29)</f>
        <v>#REF!</v>
      </c>
      <c r="V29" s="36" t="s">
        <v>77</v>
      </c>
    </row>
    <row r="30" spans="1:33" ht="20.100000000000001" customHeight="1" x14ac:dyDescent="0.3">
      <c r="A30" s="121"/>
      <c r="B30" s="91" t="str">
        <f>B16</f>
        <v>Graduate Assistant</v>
      </c>
      <c r="C30" s="112"/>
      <c r="D30" s="113"/>
      <c r="E30" s="114"/>
      <c r="F30" s="115"/>
      <c r="G30" s="116"/>
      <c r="H30" s="115">
        <v>0.126</v>
      </c>
      <c r="I30" s="117"/>
      <c r="J30" s="117"/>
      <c r="K30" s="117"/>
      <c r="L30" s="117"/>
      <c r="M30" s="117"/>
      <c r="N30" s="118">
        <f t="shared" si="17"/>
        <v>0</v>
      </c>
      <c r="O30" s="122">
        <f>O16*F30</f>
        <v>0</v>
      </c>
      <c r="P30" s="122">
        <f>P16*E30</f>
        <v>0</v>
      </c>
      <c r="Q30" s="122" t="e">
        <f>Q16*#REF!</f>
        <v>#REF!</v>
      </c>
      <c r="R30" s="122">
        <f>R16*G30</f>
        <v>0</v>
      </c>
      <c r="S30" s="122">
        <f>S16*H30</f>
        <v>0</v>
      </c>
      <c r="T30" s="120" t="e">
        <f t="shared" si="18"/>
        <v>#REF!</v>
      </c>
      <c r="U30" s="89" t="s">
        <v>270</v>
      </c>
      <c r="V30" s="302"/>
      <c r="W30" s="302"/>
      <c r="X30" s="302"/>
      <c r="Y30" s="302"/>
      <c r="Z30" s="302"/>
      <c r="AA30" s="302"/>
      <c r="AB30" s="302"/>
      <c r="AC30" s="302"/>
      <c r="AD30" s="302"/>
      <c r="AE30" s="302"/>
      <c r="AF30" s="302"/>
      <c r="AG30" s="302"/>
    </row>
    <row r="31" spans="1:33" ht="20.100000000000001" customHeight="1" x14ac:dyDescent="0.3">
      <c r="A31" s="121"/>
      <c r="B31" s="91" t="str">
        <f>B17</f>
        <v>Graduate Assistant</v>
      </c>
      <c r="C31" s="112"/>
      <c r="D31" s="113"/>
      <c r="E31" s="114"/>
      <c r="F31" s="115"/>
      <c r="G31" s="116"/>
      <c r="H31" s="115">
        <v>0.126</v>
      </c>
      <c r="I31" s="117"/>
      <c r="J31" s="117"/>
      <c r="K31" s="117"/>
      <c r="L31" s="117"/>
      <c r="M31" s="117"/>
      <c r="N31" s="118">
        <f t="shared" si="17"/>
        <v>0</v>
      </c>
      <c r="O31" s="122">
        <f>O17*F31</f>
        <v>0</v>
      </c>
      <c r="P31" s="122">
        <f>P17*E31</f>
        <v>0</v>
      </c>
      <c r="Q31" s="122" t="e">
        <f>Q17*#REF!</f>
        <v>#REF!</v>
      </c>
      <c r="R31" s="122">
        <f>R17*G31</f>
        <v>0</v>
      </c>
      <c r="S31" s="122">
        <f>S17*H31</f>
        <v>0</v>
      </c>
      <c r="T31" s="120" t="e">
        <f t="shared" si="18"/>
        <v>#REF!</v>
      </c>
    </row>
    <row r="32" spans="1:33" ht="20.100000000000001" customHeight="1" x14ac:dyDescent="0.3">
      <c r="A32" s="125" t="s">
        <v>103</v>
      </c>
      <c r="B32" s="83"/>
      <c r="C32" s="84"/>
      <c r="D32" s="84"/>
      <c r="E32" s="84"/>
      <c r="F32" s="84"/>
      <c r="G32" s="85"/>
      <c r="H32" s="85"/>
      <c r="I32" s="86" t="e">
        <f>SUM(I24:I31)</f>
        <v>#DIV/0!</v>
      </c>
      <c r="J32" s="86" t="e">
        <f>SUM(J24:J31)</f>
        <v>#DIV/0!</v>
      </c>
      <c r="K32" s="86" t="e">
        <f>SUM(K24:K31)</f>
        <v>#DIV/0!</v>
      </c>
      <c r="L32" s="86" t="e">
        <f>SUM(L24:L31)</f>
        <v>#DIV/0!</v>
      </c>
      <c r="M32" s="86" t="e">
        <f>SUM(M24:M31)</f>
        <v>#DIV/0!</v>
      </c>
      <c r="N32" s="126" t="e">
        <f>SUM(I32:M32)</f>
        <v>#DIV/0!</v>
      </c>
      <c r="O32" s="86" t="e">
        <f t="shared" ref="O32:T32" si="22">SUM(O24:O31)</f>
        <v>#DIV/0!</v>
      </c>
      <c r="P32" s="86" t="e">
        <f t="shared" si="22"/>
        <v>#REF!</v>
      </c>
      <c r="Q32" s="86" t="e">
        <f t="shared" si="22"/>
        <v>#REF!</v>
      </c>
      <c r="R32" s="86" t="e">
        <f t="shared" si="22"/>
        <v>#REF!</v>
      </c>
      <c r="S32" s="86" t="e">
        <f t="shared" si="22"/>
        <v>#REF!</v>
      </c>
      <c r="T32" s="86" t="e">
        <f t="shared" si="22"/>
        <v>#DIV/0!</v>
      </c>
    </row>
    <row r="33" spans="1:25" ht="24.75" customHeight="1" x14ac:dyDescent="0.4">
      <c r="A33" s="55"/>
      <c r="B33" s="127"/>
      <c r="C33" s="326" t="s">
        <v>104</v>
      </c>
      <c r="D33" s="327"/>
      <c r="E33" s="327"/>
      <c r="F33" s="327"/>
      <c r="G33" s="327"/>
      <c r="H33" s="327"/>
      <c r="I33" s="128" t="e">
        <f>I13+I21+I32</f>
        <v>#DIV/0!</v>
      </c>
      <c r="J33" s="128" t="e">
        <f>J13+J21+J32</f>
        <v>#DIV/0!</v>
      </c>
      <c r="K33" s="128" t="e">
        <f>K13+K21+K32</f>
        <v>#DIV/0!</v>
      </c>
      <c r="L33" s="128" t="e">
        <f>L13+L21+L32</f>
        <v>#DIV/0!</v>
      </c>
      <c r="M33" s="128" t="e">
        <f>M13+M21+M32</f>
        <v>#DIV/0!</v>
      </c>
      <c r="N33" s="129" t="e">
        <f>SUM(I33:M33)</f>
        <v>#DIV/0!</v>
      </c>
      <c r="O33" s="128" t="e">
        <f>O21+O32</f>
        <v>#DIV/0!</v>
      </c>
      <c r="P33" s="128" t="e">
        <f>P21+P32</f>
        <v>#REF!</v>
      </c>
      <c r="Q33" s="128" t="e">
        <f>Q21+Q32</f>
        <v>#REF!</v>
      </c>
      <c r="R33" s="128" t="e">
        <f>R21+R32</f>
        <v>#REF!</v>
      </c>
      <c r="S33" s="128" t="e">
        <f>S21+S32</f>
        <v>#REF!</v>
      </c>
      <c r="T33" s="129" t="e">
        <f>SUM(O33:S33)</f>
        <v>#DIV/0!</v>
      </c>
      <c r="V33" s="130" t="s">
        <v>105</v>
      </c>
      <c r="W33" s="130"/>
      <c r="X33" s="131"/>
      <c r="Y33" s="132"/>
    </row>
    <row r="34" spans="1:25" ht="20.100000000000001" customHeight="1" x14ac:dyDescent="0.35">
      <c r="A34" s="94" t="s">
        <v>106</v>
      </c>
      <c r="B34" s="127"/>
      <c r="C34" s="133"/>
      <c r="D34" s="133"/>
      <c r="E34" s="133"/>
      <c r="F34" s="133"/>
      <c r="G34" s="134"/>
      <c r="H34" s="134"/>
      <c r="I34" s="135"/>
      <c r="J34" s="135"/>
      <c r="K34" s="136"/>
      <c r="L34" s="136"/>
      <c r="M34" s="136"/>
      <c r="N34" s="136"/>
      <c r="O34" s="111"/>
      <c r="P34" s="111"/>
      <c r="Q34" s="137"/>
      <c r="R34" s="137"/>
      <c r="S34" s="137"/>
      <c r="T34" s="138"/>
      <c r="V34" s="139"/>
      <c r="W34" s="139"/>
      <c r="X34" s="139"/>
      <c r="Y34" s="132"/>
    </row>
    <row r="35" spans="1:25" ht="20.100000000000001" customHeight="1" x14ac:dyDescent="0.3">
      <c r="A35" s="55"/>
      <c r="B35" s="140" t="s">
        <v>107</v>
      </c>
      <c r="C35" s="318"/>
      <c r="D35" s="318"/>
      <c r="E35" s="318"/>
      <c r="F35" s="318"/>
      <c r="G35" s="318"/>
      <c r="H35" s="318"/>
      <c r="I35" s="161">
        <v>0</v>
      </c>
      <c r="J35" s="161">
        <v>0</v>
      </c>
      <c r="K35" s="161">
        <v>0</v>
      </c>
      <c r="L35" s="161">
        <v>0</v>
      </c>
      <c r="M35" s="161">
        <v>0</v>
      </c>
      <c r="N35" s="71">
        <f>SUM(I35:M35)</f>
        <v>0</v>
      </c>
      <c r="O35" s="143">
        <v>0</v>
      </c>
      <c r="P35" s="143">
        <v>0</v>
      </c>
      <c r="Q35" s="144">
        <v>0</v>
      </c>
      <c r="R35" s="144">
        <v>0</v>
      </c>
      <c r="S35" s="144">
        <v>0</v>
      </c>
      <c r="T35" s="145">
        <f t="shared" ref="T35:T42" si="23">SUM(O35:S35)</f>
        <v>0</v>
      </c>
      <c r="W35" s="146"/>
      <c r="X35" s="147"/>
      <c r="Y35" s="146"/>
    </row>
    <row r="36" spans="1:25" ht="30" customHeight="1" x14ac:dyDescent="0.3">
      <c r="A36" s="55"/>
      <c r="B36" s="140" t="s">
        <v>108</v>
      </c>
      <c r="C36" s="331" t="s">
        <v>164</v>
      </c>
      <c r="D36" s="332"/>
      <c r="E36" s="332"/>
      <c r="F36" s="332"/>
      <c r="G36" s="332"/>
      <c r="H36" s="332"/>
      <c r="I36" s="123">
        <f>Travel!E41</f>
        <v>0</v>
      </c>
      <c r="J36" s="123">
        <f>Travel!F41</f>
        <v>0</v>
      </c>
      <c r="K36" s="123">
        <f>Travel!G41</f>
        <v>0</v>
      </c>
      <c r="L36" s="123">
        <f>Travel!H41</f>
        <v>0</v>
      </c>
      <c r="M36" s="123">
        <f>Travel!I41</f>
        <v>0</v>
      </c>
      <c r="N36" s="142">
        <f>SUM(I36:M36)</f>
        <v>0</v>
      </c>
      <c r="O36" s="148">
        <v>0</v>
      </c>
      <c r="P36" s="148">
        <v>0</v>
      </c>
      <c r="Q36" s="148">
        <v>0</v>
      </c>
      <c r="R36" s="148">
        <v>0</v>
      </c>
      <c r="S36" s="148">
        <v>0</v>
      </c>
      <c r="T36" s="145">
        <f t="shared" si="23"/>
        <v>0</v>
      </c>
      <c r="W36" s="149" t="s">
        <v>77</v>
      </c>
      <c r="X36" s="146"/>
      <c r="Y36" s="150"/>
    </row>
    <row r="37" spans="1:25" ht="41.25" customHeight="1" x14ac:dyDescent="0.3">
      <c r="A37" s="55"/>
      <c r="B37" s="50" t="s">
        <v>109</v>
      </c>
      <c r="C37" s="333" t="s">
        <v>165</v>
      </c>
      <c r="D37" s="334"/>
      <c r="E37" s="334"/>
      <c r="F37" s="334"/>
      <c r="G37" s="334"/>
      <c r="H37" s="335"/>
      <c r="I37" s="124">
        <f>Materials_Supplies!C43</f>
        <v>0</v>
      </c>
      <c r="J37" s="124">
        <f>Materials_Supplies!D43</f>
        <v>0</v>
      </c>
      <c r="K37" s="124">
        <f>Materials_Supplies!E43</f>
        <v>0</v>
      </c>
      <c r="L37" s="124">
        <f>Materials_Supplies!F43</f>
        <v>0</v>
      </c>
      <c r="M37" s="124">
        <f>Materials_Supplies!G43</f>
        <v>0</v>
      </c>
      <c r="N37" s="142">
        <f t="shared" ref="N37:N59" si="24">SUM(I37:M37)</f>
        <v>0</v>
      </c>
      <c r="O37" s="143">
        <v>0</v>
      </c>
      <c r="P37" s="143">
        <v>0</v>
      </c>
      <c r="Q37" s="148">
        <v>0</v>
      </c>
      <c r="R37" s="148">
        <v>0</v>
      </c>
      <c r="S37" s="148">
        <v>0</v>
      </c>
      <c r="T37" s="145">
        <f t="shared" si="23"/>
        <v>0</v>
      </c>
      <c r="W37" s="150" t="s">
        <v>77</v>
      </c>
      <c r="X37" s="146"/>
      <c r="Y37" s="151"/>
    </row>
    <row r="38" spans="1:25" ht="20.100000000000001" customHeight="1" x14ac:dyDescent="0.3">
      <c r="A38" s="55"/>
      <c r="B38" s="50" t="s">
        <v>110</v>
      </c>
      <c r="C38" s="152"/>
      <c r="D38" s="152"/>
      <c r="E38" s="152"/>
      <c r="F38" s="152"/>
      <c r="G38" s="153"/>
      <c r="H38" s="153"/>
      <c r="I38" s="124">
        <v>0</v>
      </c>
      <c r="J38" s="124">
        <v>0</v>
      </c>
      <c r="K38" s="124">
        <v>0</v>
      </c>
      <c r="L38" s="124">
        <v>0</v>
      </c>
      <c r="M38" s="124">
        <v>0</v>
      </c>
      <c r="N38" s="142">
        <f t="shared" si="24"/>
        <v>0</v>
      </c>
      <c r="O38" s="143">
        <v>0</v>
      </c>
      <c r="P38" s="143">
        <v>0</v>
      </c>
      <c r="Q38" s="143">
        <v>0</v>
      </c>
      <c r="R38" s="143">
        <v>0</v>
      </c>
      <c r="S38" s="143">
        <v>0</v>
      </c>
      <c r="T38" s="145">
        <f t="shared" si="23"/>
        <v>0</v>
      </c>
      <c r="W38" s="150" t="s">
        <v>77</v>
      </c>
      <c r="X38" s="146"/>
      <c r="Y38" s="154"/>
    </row>
    <row r="39" spans="1:25" ht="20.100000000000001" customHeight="1" x14ac:dyDescent="0.3">
      <c r="A39" s="55"/>
      <c r="B39" s="155" t="s">
        <v>111</v>
      </c>
      <c r="C39" s="156"/>
      <c r="D39" s="156"/>
      <c r="E39" s="156"/>
      <c r="F39" s="156"/>
      <c r="G39" s="157"/>
      <c r="H39" s="157"/>
      <c r="I39" s="158">
        <v>0</v>
      </c>
      <c r="J39" s="158">
        <v>0</v>
      </c>
      <c r="K39" s="158">
        <v>0</v>
      </c>
      <c r="L39" s="158">
        <v>0</v>
      </c>
      <c r="M39" s="158">
        <v>0</v>
      </c>
      <c r="N39" s="142">
        <f t="shared" si="24"/>
        <v>0</v>
      </c>
      <c r="O39" s="159">
        <v>0</v>
      </c>
      <c r="P39" s="159">
        <v>0</v>
      </c>
      <c r="Q39" s="159">
        <v>0</v>
      </c>
      <c r="R39" s="159">
        <v>0</v>
      </c>
      <c r="S39" s="159">
        <v>0</v>
      </c>
      <c r="T39" s="145">
        <f t="shared" si="23"/>
        <v>0</v>
      </c>
      <c r="W39" s="150" t="s">
        <v>77</v>
      </c>
      <c r="X39" s="146"/>
      <c r="Y39" s="151"/>
    </row>
    <row r="40" spans="1:25" ht="20.100000000000001" customHeight="1" x14ac:dyDescent="0.3">
      <c r="A40" s="55"/>
      <c r="B40" s="50" t="s">
        <v>112</v>
      </c>
      <c r="C40" s="95"/>
      <c r="D40" s="95"/>
      <c r="E40" s="160"/>
      <c r="F40" s="160"/>
      <c r="G40" s="160"/>
      <c r="H40" s="160"/>
      <c r="I40" s="161">
        <v>0</v>
      </c>
      <c r="J40" s="161">
        <v>0</v>
      </c>
      <c r="K40" s="161">
        <v>0</v>
      </c>
      <c r="L40" s="161">
        <v>0</v>
      </c>
      <c r="M40" s="161">
        <v>0</v>
      </c>
      <c r="N40" s="142">
        <f t="shared" si="24"/>
        <v>0</v>
      </c>
      <c r="O40" s="148">
        <v>0</v>
      </c>
      <c r="P40" s="148">
        <v>0</v>
      </c>
      <c r="Q40" s="148">
        <v>0</v>
      </c>
      <c r="R40" s="148">
        <v>0</v>
      </c>
      <c r="S40" s="148">
        <v>0</v>
      </c>
      <c r="T40" s="145">
        <f t="shared" si="23"/>
        <v>0</v>
      </c>
      <c r="W40" s="146"/>
      <c r="X40" s="146"/>
      <c r="Y40" s="150"/>
    </row>
    <row r="41" spans="1:25" ht="20.100000000000001" customHeight="1" x14ac:dyDescent="0.3">
      <c r="A41" s="55"/>
      <c r="B41" s="162" t="s">
        <v>113</v>
      </c>
      <c r="C41" s="163" t="s">
        <v>114</v>
      </c>
      <c r="D41" s="163"/>
      <c r="E41" s="163"/>
      <c r="F41" s="163"/>
      <c r="G41" s="164"/>
      <c r="H41" s="164"/>
      <c r="I41" s="165">
        <v>0</v>
      </c>
      <c r="J41" s="165">
        <v>0</v>
      </c>
      <c r="K41" s="165">
        <v>0</v>
      </c>
      <c r="L41" s="165">
        <v>0</v>
      </c>
      <c r="M41" s="165">
        <v>0</v>
      </c>
      <c r="N41" s="166">
        <f t="shared" si="24"/>
        <v>0</v>
      </c>
      <c r="O41" s="167">
        <v>0</v>
      </c>
      <c r="P41" s="167">
        <v>0</v>
      </c>
      <c r="Q41" s="167">
        <v>0</v>
      </c>
      <c r="R41" s="167">
        <v>0</v>
      </c>
      <c r="S41" s="167">
        <v>0</v>
      </c>
      <c r="T41" s="168">
        <f t="shared" si="23"/>
        <v>0</v>
      </c>
    </row>
    <row r="42" spans="1:25" ht="20.100000000000001" customHeight="1" x14ac:dyDescent="0.3">
      <c r="A42" s="55"/>
      <c r="B42" s="162" t="s">
        <v>115</v>
      </c>
      <c r="C42" s="163" t="s">
        <v>116</v>
      </c>
      <c r="D42" s="163"/>
      <c r="E42" s="163"/>
      <c r="F42" s="163"/>
      <c r="G42" s="164"/>
      <c r="H42" s="164"/>
      <c r="I42" s="165">
        <v>0</v>
      </c>
      <c r="J42" s="165">
        <v>0</v>
      </c>
      <c r="K42" s="165">
        <v>0</v>
      </c>
      <c r="L42" s="165">
        <v>0</v>
      </c>
      <c r="M42" s="165">
        <v>0</v>
      </c>
      <c r="N42" s="166">
        <f t="shared" si="24"/>
        <v>0</v>
      </c>
      <c r="O42" s="167">
        <v>0</v>
      </c>
      <c r="P42" s="167">
        <v>0</v>
      </c>
      <c r="Q42" s="167">
        <v>0</v>
      </c>
      <c r="R42" s="167">
        <v>0</v>
      </c>
      <c r="S42" s="167">
        <v>0</v>
      </c>
      <c r="T42" s="168">
        <f t="shared" si="23"/>
        <v>0</v>
      </c>
      <c r="W42" s="169"/>
    </row>
    <row r="43" spans="1:25" ht="20.100000000000001" customHeight="1" x14ac:dyDescent="0.3">
      <c r="A43" s="55"/>
      <c r="B43" s="162" t="s">
        <v>117</v>
      </c>
      <c r="C43" s="163"/>
      <c r="D43" s="163"/>
      <c r="E43" s="163"/>
      <c r="F43" s="163"/>
      <c r="G43" s="164"/>
      <c r="H43" s="164"/>
      <c r="I43" s="165">
        <v>0</v>
      </c>
      <c r="J43" s="165">
        <v>0</v>
      </c>
      <c r="K43" s="165">
        <v>0</v>
      </c>
      <c r="L43" s="165">
        <v>0</v>
      </c>
      <c r="M43" s="165">
        <v>0</v>
      </c>
      <c r="N43" s="166">
        <f t="shared" si="24"/>
        <v>0</v>
      </c>
      <c r="O43" s="167"/>
      <c r="P43" s="167"/>
      <c r="Q43" s="167"/>
      <c r="R43" s="167"/>
      <c r="S43" s="167"/>
      <c r="T43" s="168"/>
      <c r="W43" s="169"/>
    </row>
    <row r="44" spans="1:25" ht="20.100000000000001" customHeight="1" x14ac:dyDescent="0.3">
      <c r="A44" s="55"/>
      <c r="B44" s="162" t="s">
        <v>118</v>
      </c>
      <c r="C44" s="163"/>
      <c r="D44" s="163"/>
      <c r="E44" s="163"/>
      <c r="F44" s="163"/>
      <c r="G44" s="164"/>
      <c r="H44" s="164"/>
      <c r="I44" s="165">
        <v>0</v>
      </c>
      <c r="J44" s="165">
        <v>0</v>
      </c>
      <c r="K44" s="165">
        <v>0</v>
      </c>
      <c r="L44" s="165">
        <v>0</v>
      </c>
      <c r="M44" s="165">
        <v>0</v>
      </c>
      <c r="N44" s="166">
        <f t="shared" si="24"/>
        <v>0</v>
      </c>
      <c r="O44" s="167"/>
      <c r="P44" s="167"/>
      <c r="Q44" s="167"/>
      <c r="R44" s="167"/>
      <c r="S44" s="167"/>
      <c r="T44" s="168"/>
      <c r="W44" s="169"/>
    </row>
    <row r="45" spans="1:25" ht="20.100000000000001" customHeight="1" x14ac:dyDescent="0.3">
      <c r="A45" s="55"/>
      <c r="B45" s="162" t="s">
        <v>119</v>
      </c>
      <c r="C45" s="163"/>
      <c r="D45" s="163"/>
      <c r="E45" s="163"/>
      <c r="F45" s="163"/>
      <c r="G45" s="164"/>
      <c r="H45" s="164"/>
      <c r="I45" s="165">
        <v>0</v>
      </c>
      <c r="J45" s="165">
        <v>0</v>
      </c>
      <c r="K45" s="165">
        <v>0</v>
      </c>
      <c r="L45" s="165">
        <v>0</v>
      </c>
      <c r="M45" s="165">
        <v>0</v>
      </c>
      <c r="N45" s="166">
        <f t="shared" si="24"/>
        <v>0</v>
      </c>
      <c r="O45" s="167"/>
      <c r="P45" s="167"/>
      <c r="Q45" s="167"/>
      <c r="R45" s="167"/>
      <c r="S45" s="167"/>
      <c r="T45" s="168"/>
      <c r="W45" s="169"/>
    </row>
    <row r="46" spans="1:25" ht="20.100000000000001" customHeight="1" x14ac:dyDescent="0.3">
      <c r="A46" s="55"/>
      <c r="B46" s="162" t="s">
        <v>120</v>
      </c>
      <c r="C46" s="163"/>
      <c r="D46" s="163"/>
      <c r="E46" s="163"/>
      <c r="F46" s="163"/>
      <c r="G46" s="164"/>
      <c r="H46" s="164"/>
      <c r="I46" s="165">
        <v>0</v>
      </c>
      <c r="J46" s="165">
        <v>0</v>
      </c>
      <c r="K46" s="165">
        <v>0</v>
      </c>
      <c r="L46" s="165">
        <v>0</v>
      </c>
      <c r="M46" s="165">
        <v>0</v>
      </c>
      <c r="N46" s="166">
        <f t="shared" si="24"/>
        <v>0</v>
      </c>
      <c r="O46" s="167"/>
      <c r="P46" s="167"/>
      <c r="Q46" s="167"/>
      <c r="R46" s="167"/>
      <c r="S46" s="167"/>
      <c r="T46" s="168"/>
      <c r="W46" s="169"/>
    </row>
    <row r="47" spans="1:25" ht="20.100000000000001" customHeight="1" x14ac:dyDescent="0.3">
      <c r="A47" s="55"/>
      <c r="B47" s="162" t="s">
        <v>121</v>
      </c>
      <c r="C47" s="163"/>
      <c r="D47" s="163"/>
      <c r="E47" s="163"/>
      <c r="F47" s="163"/>
      <c r="G47" s="164"/>
      <c r="H47" s="164"/>
      <c r="I47" s="165">
        <v>0</v>
      </c>
      <c r="J47" s="165">
        <v>0</v>
      </c>
      <c r="K47" s="165">
        <v>0</v>
      </c>
      <c r="L47" s="165">
        <v>0</v>
      </c>
      <c r="M47" s="165">
        <v>0</v>
      </c>
      <c r="N47" s="166">
        <f t="shared" si="24"/>
        <v>0</v>
      </c>
      <c r="O47" s="167"/>
      <c r="P47" s="167"/>
      <c r="Q47" s="167"/>
      <c r="R47" s="167"/>
      <c r="S47" s="167"/>
      <c r="T47" s="168"/>
      <c r="W47" s="169"/>
    </row>
    <row r="48" spans="1:25" ht="20.100000000000001" customHeight="1" x14ac:dyDescent="0.3">
      <c r="A48" s="55"/>
      <c r="B48" s="162" t="s">
        <v>122</v>
      </c>
      <c r="C48" s="163"/>
      <c r="D48" s="163"/>
      <c r="E48" s="163"/>
      <c r="F48" s="163"/>
      <c r="G48" s="164"/>
      <c r="H48" s="164"/>
      <c r="I48" s="165">
        <v>0</v>
      </c>
      <c r="J48" s="165">
        <v>0</v>
      </c>
      <c r="K48" s="165">
        <v>0</v>
      </c>
      <c r="L48" s="165">
        <v>0</v>
      </c>
      <c r="M48" s="165">
        <v>0</v>
      </c>
      <c r="N48" s="166">
        <f t="shared" si="24"/>
        <v>0</v>
      </c>
      <c r="O48" s="167"/>
      <c r="P48" s="167"/>
      <c r="Q48" s="167"/>
      <c r="R48" s="167"/>
      <c r="S48" s="167"/>
      <c r="T48" s="168"/>
      <c r="W48" s="169"/>
    </row>
    <row r="49" spans="1:33" ht="20.100000000000001" customHeight="1" x14ac:dyDescent="0.3">
      <c r="A49" s="55"/>
      <c r="B49" s="162" t="s">
        <v>123</v>
      </c>
      <c r="C49" s="163"/>
      <c r="D49" s="163"/>
      <c r="E49" s="163"/>
      <c r="F49" s="163"/>
      <c r="G49" s="164"/>
      <c r="H49" s="164"/>
      <c r="I49" s="165">
        <v>0</v>
      </c>
      <c r="J49" s="165">
        <v>0</v>
      </c>
      <c r="K49" s="165">
        <v>0</v>
      </c>
      <c r="L49" s="165">
        <v>0</v>
      </c>
      <c r="M49" s="165">
        <v>0</v>
      </c>
      <c r="N49" s="166">
        <f t="shared" si="24"/>
        <v>0</v>
      </c>
      <c r="O49" s="167"/>
      <c r="P49" s="167"/>
      <c r="Q49" s="167"/>
      <c r="R49" s="167"/>
      <c r="S49" s="167"/>
      <c r="T49" s="168"/>
      <c r="W49" s="169"/>
    </row>
    <row r="50" spans="1:33" ht="20.100000000000001" customHeight="1" x14ac:dyDescent="0.3">
      <c r="A50" s="55"/>
      <c r="B50" s="162" t="s">
        <v>124</v>
      </c>
      <c r="C50" s="163"/>
      <c r="D50" s="163"/>
      <c r="E50" s="163"/>
      <c r="F50" s="163"/>
      <c r="G50" s="164"/>
      <c r="H50" s="164"/>
      <c r="I50" s="165">
        <v>0</v>
      </c>
      <c r="J50" s="165">
        <v>0</v>
      </c>
      <c r="K50" s="165">
        <v>0</v>
      </c>
      <c r="L50" s="165">
        <v>0</v>
      </c>
      <c r="M50" s="165">
        <v>0</v>
      </c>
      <c r="N50" s="166">
        <f t="shared" si="24"/>
        <v>0</v>
      </c>
      <c r="O50" s="167"/>
      <c r="P50" s="167"/>
      <c r="Q50" s="167"/>
      <c r="R50" s="167"/>
      <c r="S50" s="167"/>
      <c r="T50" s="168"/>
      <c r="W50" s="169"/>
    </row>
    <row r="51" spans="1:33" ht="20.100000000000001" customHeight="1" x14ac:dyDescent="0.3">
      <c r="A51" s="55"/>
      <c r="B51" s="170"/>
      <c r="C51" s="170"/>
      <c r="D51" s="170" t="s">
        <v>125</v>
      </c>
      <c r="E51" s="170"/>
      <c r="F51" s="170"/>
      <c r="G51" s="171"/>
      <c r="H51" s="171"/>
      <c r="I51" s="172">
        <f>SUM(I41:I50)</f>
        <v>0</v>
      </c>
      <c r="J51" s="172">
        <f>SUM(J41:J50)</f>
        <v>0</v>
      </c>
      <c r="K51" s="172">
        <f>SUM(K41:K50)</f>
        <v>0</v>
      </c>
      <c r="L51" s="172">
        <f>SUM(L41:L50)</f>
        <v>0</v>
      </c>
      <c r="M51" s="172">
        <f>SUM(M41:M50)</f>
        <v>0</v>
      </c>
      <c r="N51" s="172">
        <f>SUM(I51:M51)</f>
        <v>0</v>
      </c>
      <c r="O51" s="173"/>
      <c r="P51" s="173"/>
      <c r="Q51" s="173"/>
      <c r="R51" s="173"/>
      <c r="S51" s="173"/>
      <c r="T51" s="173"/>
    </row>
    <row r="52" spans="1:33" ht="20.100000000000001" customHeight="1" x14ac:dyDescent="0.3">
      <c r="A52" s="55"/>
      <c r="B52" s="50" t="s">
        <v>126</v>
      </c>
      <c r="C52" s="95"/>
      <c r="D52" s="95"/>
      <c r="E52" s="95"/>
      <c r="F52" s="95"/>
      <c r="G52" s="96"/>
      <c r="H52" s="96"/>
      <c r="I52" s="124">
        <v>0</v>
      </c>
      <c r="J52" s="124">
        <v>0</v>
      </c>
      <c r="K52" s="124">
        <v>0</v>
      </c>
      <c r="L52" s="124">
        <v>0</v>
      </c>
      <c r="M52" s="124">
        <v>0</v>
      </c>
      <c r="N52" s="142">
        <f t="shared" si="24"/>
        <v>0</v>
      </c>
      <c r="O52" s="143">
        <v>0</v>
      </c>
      <c r="P52" s="143">
        <v>0</v>
      </c>
      <c r="Q52" s="143">
        <v>0</v>
      </c>
      <c r="R52" s="143">
        <v>0</v>
      </c>
      <c r="S52" s="143">
        <v>0</v>
      </c>
      <c r="T52" s="145">
        <f>SUM(O52:S52)</f>
        <v>0</v>
      </c>
      <c r="W52" s="149" t="s">
        <v>77</v>
      </c>
      <c r="X52" s="146"/>
      <c r="Y52" s="174"/>
    </row>
    <row r="53" spans="1:33" ht="20.100000000000001" customHeight="1" x14ac:dyDescent="0.3">
      <c r="A53" s="55"/>
      <c r="B53" s="175" t="s">
        <v>127</v>
      </c>
      <c r="C53" s="175"/>
      <c r="D53" s="95"/>
      <c r="E53" s="95"/>
      <c r="F53" s="95"/>
      <c r="G53" s="96"/>
      <c r="H53" s="96"/>
      <c r="I53" s="141">
        <v>0</v>
      </c>
      <c r="J53" s="141">
        <v>0</v>
      </c>
      <c r="K53" s="141">
        <v>0</v>
      </c>
      <c r="L53" s="141">
        <v>0</v>
      </c>
      <c r="M53" s="141">
        <v>0</v>
      </c>
      <c r="N53" s="176">
        <f t="shared" si="24"/>
        <v>0</v>
      </c>
      <c r="O53" s="141"/>
      <c r="P53" s="141"/>
      <c r="Q53" s="141"/>
      <c r="R53" s="141"/>
      <c r="S53" s="141"/>
      <c r="T53" s="176"/>
      <c r="W53" s="169"/>
    </row>
    <row r="54" spans="1:33" ht="20.100000000000001" customHeight="1" x14ac:dyDescent="0.3">
      <c r="A54" s="55"/>
      <c r="B54" s="50" t="s">
        <v>128</v>
      </c>
      <c r="C54" s="95"/>
      <c r="D54" s="95"/>
      <c r="E54" s="336" t="s">
        <v>129</v>
      </c>
      <c r="F54" s="336"/>
      <c r="G54" s="310" t="s">
        <v>77</v>
      </c>
      <c r="H54" s="70"/>
      <c r="I54" s="161">
        <v>0</v>
      </c>
      <c r="J54" s="161">
        <v>0</v>
      </c>
      <c r="K54" s="161">
        <v>0</v>
      </c>
      <c r="L54" s="161">
        <v>0</v>
      </c>
      <c r="M54" s="161">
        <v>0</v>
      </c>
      <c r="N54" s="142">
        <f>SUM(I54:M54)</f>
        <v>0</v>
      </c>
      <c r="O54" s="148">
        <v>0</v>
      </c>
      <c r="P54" s="148">
        <v>0</v>
      </c>
      <c r="Q54" s="148">
        <f>P54*1.06</f>
        <v>0</v>
      </c>
      <c r="R54" s="148">
        <v>0</v>
      </c>
      <c r="S54" s="148">
        <v>0</v>
      </c>
      <c r="T54" s="145">
        <f t="shared" ref="T54:T60" si="25">SUM(O54:S54)</f>
        <v>0</v>
      </c>
      <c r="W54" s="146"/>
      <c r="X54" s="146"/>
      <c r="Y54" s="150"/>
    </row>
    <row r="55" spans="1:33" ht="20.100000000000001" customHeight="1" x14ac:dyDescent="0.3">
      <c r="A55" s="55"/>
      <c r="B55" s="50" t="s">
        <v>130</v>
      </c>
      <c r="C55" s="95"/>
      <c r="D55" s="95"/>
      <c r="E55" s="309"/>
      <c r="F55" s="309"/>
      <c r="G55" s="160"/>
      <c r="H55" s="160"/>
      <c r="I55" s="161">
        <v>0</v>
      </c>
      <c r="J55" s="161">
        <v>0</v>
      </c>
      <c r="K55" s="161">
        <v>0</v>
      </c>
      <c r="L55" s="161">
        <v>0</v>
      </c>
      <c r="M55" s="161">
        <v>0</v>
      </c>
      <c r="N55" s="142">
        <f t="shared" si="24"/>
        <v>0</v>
      </c>
      <c r="O55" s="148">
        <v>0</v>
      </c>
      <c r="P55" s="148">
        <v>0</v>
      </c>
      <c r="Q55" s="148">
        <v>0</v>
      </c>
      <c r="R55" s="148">
        <v>0</v>
      </c>
      <c r="S55" s="148">
        <v>0</v>
      </c>
      <c r="T55" s="145">
        <f t="shared" si="25"/>
        <v>0</v>
      </c>
      <c r="W55" s="146"/>
      <c r="X55" s="177"/>
      <c r="Y55" s="178"/>
    </row>
    <row r="56" spans="1:33" ht="20.100000000000001" customHeight="1" x14ac:dyDescent="0.3">
      <c r="A56" s="55"/>
      <c r="B56" s="50" t="s">
        <v>130</v>
      </c>
      <c r="C56" s="95"/>
      <c r="D56" s="95"/>
      <c r="E56" s="160"/>
      <c r="F56" s="160"/>
      <c r="G56" s="160"/>
      <c r="H56" s="160"/>
      <c r="I56" s="161">
        <v>0</v>
      </c>
      <c r="J56" s="161">
        <v>0</v>
      </c>
      <c r="K56" s="161">
        <v>0</v>
      </c>
      <c r="L56" s="161">
        <v>0</v>
      </c>
      <c r="M56" s="161">
        <v>0</v>
      </c>
      <c r="N56" s="142">
        <f t="shared" si="24"/>
        <v>0</v>
      </c>
      <c r="O56" s="148">
        <v>0</v>
      </c>
      <c r="P56" s="148">
        <v>0</v>
      </c>
      <c r="Q56" s="148">
        <v>0</v>
      </c>
      <c r="R56" s="148">
        <v>0</v>
      </c>
      <c r="S56" s="148">
        <v>0</v>
      </c>
      <c r="T56" s="145">
        <f t="shared" si="25"/>
        <v>0</v>
      </c>
      <c r="W56" s="146"/>
      <c r="X56" s="146"/>
      <c r="Y56" s="146"/>
    </row>
    <row r="57" spans="1:33" ht="20.100000000000001" customHeight="1" x14ac:dyDescent="0.3">
      <c r="A57" s="55"/>
      <c r="B57" s="50" t="s">
        <v>130</v>
      </c>
      <c r="C57" s="95"/>
      <c r="D57" s="95"/>
      <c r="E57" s="160"/>
      <c r="F57" s="160"/>
      <c r="G57" s="160"/>
      <c r="H57" s="160"/>
      <c r="I57" s="161">
        <v>0</v>
      </c>
      <c r="J57" s="161">
        <v>0</v>
      </c>
      <c r="K57" s="161">
        <v>0</v>
      </c>
      <c r="L57" s="161">
        <v>0</v>
      </c>
      <c r="M57" s="161">
        <v>0</v>
      </c>
      <c r="N57" s="142">
        <f t="shared" si="24"/>
        <v>0</v>
      </c>
      <c r="O57" s="148">
        <v>0</v>
      </c>
      <c r="P57" s="148">
        <v>0</v>
      </c>
      <c r="Q57" s="148">
        <v>0</v>
      </c>
      <c r="R57" s="148">
        <v>0</v>
      </c>
      <c r="S57" s="148">
        <v>0</v>
      </c>
      <c r="T57" s="145">
        <f t="shared" si="25"/>
        <v>0</v>
      </c>
      <c r="W57" s="146"/>
      <c r="X57" s="146"/>
      <c r="Y57" s="150"/>
    </row>
    <row r="58" spans="1:33" ht="20.100000000000001" customHeight="1" x14ac:dyDescent="0.3">
      <c r="A58" s="55"/>
      <c r="B58" s="50" t="s">
        <v>130</v>
      </c>
      <c r="C58" s="95"/>
      <c r="D58" s="95"/>
      <c r="E58" s="160"/>
      <c r="F58" s="160"/>
      <c r="G58" s="160"/>
      <c r="H58" s="160"/>
      <c r="I58" s="161">
        <v>0</v>
      </c>
      <c r="J58" s="161">
        <v>0</v>
      </c>
      <c r="K58" s="161">
        <v>0</v>
      </c>
      <c r="L58" s="161">
        <v>0</v>
      </c>
      <c r="M58" s="161">
        <v>0</v>
      </c>
      <c r="N58" s="142">
        <f t="shared" si="24"/>
        <v>0</v>
      </c>
      <c r="O58" s="148">
        <v>0</v>
      </c>
      <c r="P58" s="148">
        <v>0</v>
      </c>
      <c r="Q58" s="148">
        <v>0</v>
      </c>
      <c r="R58" s="148">
        <v>0</v>
      </c>
      <c r="S58" s="148">
        <v>0</v>
      </c>
      <c r="T58" s="145">
        <f t="shared" si="25"/>
        <v>0</v>
      </c>
      <c r="W58" s="146"/>
      <c r="X58" s="146"/>
      <c r="Y58" s="150"/>
    </row>
    <row r="59" spans="1:33" ht="20.100000000000001" customHeight="1" x14ac:dyDescent="0.3">
      <c r="A59" s="55"/>
      <c r="B59" s="50" t="s">
        <v>130</v>
      </c>
      <c r="C59" s="95"/>
      <c r="D59" s="95"/>
      <c r="E59" s="160"/>
      <c r="F59" s="160"/>
      <c r="G59" s="160"/>
      <c r="H59" s="160"/>
      <c r="I59" s="161">
        <v>0</v>
      </c>
      <c r="J59" s="161">
        <v>0</v>
      </c>
      <c r="K59" s="161">
        <v>0</v>
      </c>
      <c r="L59" s="161">
        <v>0</v>
      </c>
      <c r="M59" s="161">
        <v>0</v>
      </c>
      <c r="N59" s="142">
        <f t="shared" si="24"/>
        <v>0</v>
      </c>
      <c r="O59" s="148">
        <v>0</v>
      </c>
      <c r="P59" s="148">
        <v>0</v>
      </c>
      <c r="Q59" s="148">
        <v>0</v>
      </c>
      <c r="R59" s="148">
        <v>0</v>
      </c>
      <c r="S59" s="148">
        <v>0</v>
      </c>
      <c r="T59" s="145">
        <f t="shared" si="25"/>
        <v>0</v>
      </c>
      <c r="W59" s="146"/>
      <c r="X59" s="146"/>
      <c r="Y59" s="150"/>
    </row>
    <row r="60" spans="1:33" ht="20.100000000000001" customHeight="1" x14ac:dyDescent="0.3">
      <c r="A60" s="125" t="s">
        <v>131</v>
      </c>
      <c r="B60" s="83"/>
      <c r="C60" s="84"/>
      <c r="D60" s="84"/>
      <c r="E60" s="84"/>
      <c r="F60" s="84"/>
      <c r="G60" s="179"/>
      <c r="H60" s="179"/>
      <c r="I60" s="86" t="e">
        <f>SUM(I33:I59)-I51</f>
        <v>#DIV/0!</v>
      </c>
      <c r="J60" s="86" t="e">
        <f>SUM(J33:J59)-J51</f>
        <v>#DIV/0!</v>
      </c>
      <c r="K60" s="86" t="e">
        <f>SUM(K33:K59)-K51</f>
        <v>#DIV/0!</v>
      </c>
      <c r="L60" s="86" t="e">
        <f>SUM(L33:L59)-L51</f>
        <v>#DIV/0!</v>
      </c>
      <c r="M60" s="86" t="e">
        <f>SUM(M33:M59)-M51</f>
        <v>#DIV/0!</v>
      </c>
      <c r="N60" s="86" t="e">
        <f>SUM(I60:M60)</f>
        <v>#DIV/0!</v>
      </c>
      <c r="O60" s="180" t="e">
        <f>SUM(O33:O59)</f>
        <v>#DIV/0!</v>
      </c>
      <c r="P60" s="180" t="e">
        <f>SUM(P33:P59)</f>
        <v>#REF!</v>
      </c>
      <c r="Q60" s="180" t="e">
        <f>SUM(Q33:Q59)</f>
        <v>#REF!</v>
      </c>
      <c r="R60" s="180" t="e">
        <f>SUM(R33:R59)</f>
        <v>#REF!</v>
      </c>
      <c r="S60" s="180" t="e">
        <f>SUM(S33:S59)</f>
        <v>#REF!</v>
      </c>
      <c r="T60" s="180" t="e">
        <f t="shared" si="25"/>
        <v>#DIV/0!</v>
      </c>
    </row>
    <row r="61" spans="1:33" ht="20.100000000000001" customHeight="1" thickBot="1" x14ac:dyDescent="0.35">
      <c r="A61" s="181"/>
      <c r="B61" s="182"/>
      <c r="C61" s="183"/>
      <c r="D61" s="183"/>
      <c r="E61" s="183"/>
      <c r="F61" s="184"/>
      <c r="G61" s="185"/>
      <c r="H61" s="97"/>
      <c r="I61" s="186"/>
      <c r="J61" s="186"/>
      <c r="K61" s="186"/>
      <c r="L61" s="186"/>
      <c r="M61" s="186"/>
      <c r="N61" s="186"/>
      <c r="O61" s="143"/>
      <c r="P61" s="143"/>
      <c r="Q61" s="143"/>
      <c r="R61" s="143"/>
      <c r="S61" s="143"/>
      <c r="T61" s="143"/>
    </row>
    <row r="62" spans="1:33" ht="20.100000000000001" customHeight="1" x14ac:dyDescent="0.3">
      <c r="A62" s="187"/>
      <c r="B62" s="42"/>
      <c r="C62" s="184"/>
      <c r="D62" s="184"/>
      <c r="E62" s="184"/>
      <c r="F62" s="315" t="s">
        <v>132</v>
      </c>
      <c r="G62" s="316"/>
      <c r="H62" s="317"/>
      <c r="I62" s="188" t="e">
        <f>I60</f>
        <v>#DIV/0!</v>
      </c>
      <c r="J62" s="188" t="e">
        <f>J60</f>
        <v>#DIV/0!</v>
      </c>
      <c r="K62" s="188" t="e">
        <f>K60</f>
        <v>#DIV/0!</v>
      </c>
      <c r="L62" s="188" t="e">
        <f>L60</f>
        <v>#DIV/0!</v>
      </c>
      <c r="M62" s="188" t="e">
        <f>M60</f>
        <v>#DIV/0!</v>
      </c>
      <c r="N62" s="189" t="e">
        <f>SUM(I62:M62)</f>
        <v>#DIV/0!</v>
      </c>
      <c r="O62" s="144"/>
      <c r="P62" s="143"/>
      <c r="Q62" s="143"/>
      <c r="R62" s="143"/>
      <c r="S62" s="143"/>
      <c r="T62" s="143"/>
      <c r="V62" s="190" t="s">
        <v>133</v>
      </c>
    </row>
    <row r="63" spans="1:33" ht="20.100000000000001" customHeight="1" x14ac:dyDescent="0.3">
      <c r="A63" s="127"/>
      <c r="C63" s="127"/>
      <c r="D63" s="127"/>
      <c r="E63" s="127"/>
      <c r="F63" s="337" t="s">
        <v>136</v>
      </c>
      <c r="G63" s="338"/>
      <c r="H63" s="339"/>
      <c r="I63" s="192" t="e">
        <f>I60-I35-I54-I52</f>
        <v>#DIV/0!</v>
      </c>
      <c r="J63" s="192" t="e">
        <f t="shared" ref="J63:N63" si="26">J60-J35-J54-J52</f>
        <v>#DIV/0!</v>
      </c>
      <c r="K63" s="192" t="e">
        <f t="shared" si="26"/>
        <v>#DIV/0!</v>
      </c>
      <c r="L63" s="192" t="e">
        <f t="shared" si="26"/>
        <v>#DIV/0!</v>
      </c>
      <c r="M63" s="192" t="e">
        <f t="shared" si="26"/>
        <v>#DIV/0!</v>
      </c>
      <c r="N63" s="193" t="e">
        <f t="shared" si="26"/>
        <v>#DIV/0!</v>
      </c>
      <c r="O63" s="194" t="s">
        <v>77</v>
      </c>
      <c r="P63" s="195"/>
      <c r="Q63" s="195"/>
      <c r="R63" s="195"/>
      <c r="S63" s="195"/>
      <c r="T63" s="195"/>
      <c r="V63" s="196" t="s">
        <v>137</v>
      </c>
    </row>
    <row r="64" spans="1:33" ht="24" customHeight="1" x14ac:dyDescent="0.3">
      <c r="A64" s="42"/>
      <c r="B64" s="340" t="s">
        <v>272</v>
      </c>
      <c r="C64" s="341"/>
      <c r="D64" s="342"/>
      <c r="E64" s="42"/>
      <c r="F64" s="200" t="s">
        <v>166</v>
      </c>
      <c r="G64" s="201">
        <v>0.56499999999999995</v>
      </c>
      <c r="H64" s="202"/>
      <c r="I64" s="203" t="e">
        <f>SUM(I63*G64)</f>
        <v>#DIV/0!</v>
      </c>
      <c r="J64" s="203" t="e">
        <f>SUM(J63*G64)</f>
        <v>#DIV/0!</v>
      </c>
      <c r="K64" s="203" t="e">
        <f>SUM(K63*G64)</f>
        <v>#DIV/0!</v>
      </c>
      <c r="L64" s="203" t="e">
        <f>SUM(L63*G64)</f>
        <v>#DIV/0!</v>
      </c>
      <c r="M64" s="203" t="e">
        <f>SUM(M63*G64)</f>
        <v>#DIV/0!</v>
      </c>
      <c r="N64" s="204" t="e">
        <f>SUM(I64:M64)</f>
        <v>#DIV/0!</v>
      </c>
      <c r="O64" s="144"/>
      <c r="P64" s="143"/>
      <c r="Q64" s="143"/>
      <c r="R64" s="143"/>
      <c r="S64" s="143"/>
      <c r="T64" s="143"/>
      <c r="U64" s="312" t="s">
        <v>233</v>
      </c>
      <c r="V64" s="314"/>
      <c r="W64" s="314"/>
      <c r="X64" s="314"/>
      <c r="Y64" s="314"/>
      <c r="Z64" s="314"/>
      <c r="AA64" s="314"/>
      <c r="AB64" s="314"/>
      <c r="AC64" s="314"/>
      <c r="AD64" s="314"/>
      <c r="AE64" s="314"/>
      <c r="AF64" s="314"/>
      <c r="AG64" s="314"/>
    </row>
    <row r="65" spans="1:32" ht="18" customHeight="1" thickBot="1" x14ac:dyDescent="0.35">
      <c r="A65" s="42"/>
      <c r="B65" s="343"/>
      <c r="C65" s="344"/>
      <c r="D65" s="345"/>
      <c r="E65" s="205"/>
      <c r="F65" s="328" t="s">
        <v>138</v>
      </c>
      <c r="G65" s="329"/>
      <c r="H65" s="330"/>
      <c r="I65" s="206" t="e">
        <f>SUM(I64+I62)</f>
        <v>#DIV/0!</v>
      </c>
      <c r="J65" s="206" t="e">
        <f>SUM(J64+J62)</f>
        <v>#DIV/0!</v>
      </c>
      <c r="K65" s="206" t="e">
        <f>SUM(K64+K62)</f>
        <v>#DIV/0!</v>
      </c>
      <c r="L65" s="206" t="e">
        <f>SUM(L64+L62)</f>
        <v>#DIV/0!</v>
      </c>
      <c r="M65" s="206" t="e">
        <f>SUM(M64+M62)</f>
        <v>#DIV/0!</v>
      </c>
      <c r="N65" s="206" t="e">
        <f>SUM(N62,N64)</f>
        <v>#DIV/0!</v>
      </c>
      <c r="O65" s="144"/>
      <c r="P65" s="143"/>
      <c r="Q65" s="143"/>
      <c r="R65" s="143"/>
      <c r="S65" s="143"/>
      <c r="T65" s="207"/>
      <c r="U65" s="208" t="s">
        <v>77</v>
      </c>
      <c r="V65" s="209" t="s">
        <v>139</v>
      </c>
    </row>
    <row r="66" spans="1:32" ht="20.25" customHeight="1" thickBot="1" x14ac:dyDescent="0.3">
      <c r="B66" s="346"/>
      <c r="C66" s="347"/>
      <c r="D66" s="348"/>
      <c r="F66" s="210"/>
      <c r="G66" s="211"/>
      <c r="H66" s="211"/>
      <c r="I66" s="212"/>
      <c r="J66" s="212"/>
      <c r="K66" s="212"/>
      <c r="L66" s="212"/>
      <c r="M66" s="212"/>
      <c r="N66" s="212"/>
      <c r="Q66" s="36" t="s">
        <v>77</v>
      </c>
      <c r="T66" s="74" t="s">
        <v>77</v>
      </c>
      <c r="V66" s="196" t="s">
        <v>137</v>
      </c>
    </row>
    <row r="67" spans="1:32" ht="20.100000000000001" customHeight="1" x14ac:dyDescent="0.3">
      <c r="A67" s="187"/>
      <c r="B67" s="42"/>
      <c r="C67" s="184"/>
      <c r="D67" s="184"/>
      <c r="E67" s="184"/>
      <c r="F67" s="315" t="s">
        <v>132</v>
      </c>
      <c r="G67" s="316"/>
      <c r="H67" s="317"/>
      <c r="I67" s="216" t="e">
        <f t="shared" ref="I67:N67" si="27">I62</f>
        <v>#DIV/0!</v>
      </c>
      <c r="J67" s="188" t="e">
        <f t="shared" si="27"/>
        <v>#DIV/0!</v>
      </c>
      <c r="K67" s="188" t="e">
        <f t="shared" si="27"/>
        <v>#DIV/0!</v>
      </c>
      <c r="L67" s="188" t="e">
        <f t="shared" si="27"/>
        <v>#DIV/0!</v>
      </c>
      <c r="M67" s="188" t="e">
        <f t="shared" si="27"/>
        <v>#DIV/0!</v>
      </c>
      <c r="N67" s="189" t="e">
        <f t="shared" si="27"/>
        <v>#DIV/0!</v>
      </c>
      <c r="O67" s="144"/>
      <c r="P67" s="143"/>
      <c r="Q67" s="143"/>
      <c r="R67" s="143"/>
      <c r="S67" s="143"/>
      <c r="T67" s="143"/>
      <c r="V67" s="209" t="s">
        <v>140</v>
      </c>
    </row>
    <row r="68" spans="1:32" ht="28.95" customHeight="1" x14ac:dyDescent="0.3">
      <c r="A68" s="42"/>
      <c r="B68" s="127"/>
      <c r="C68" s="42"/>
      <c r="D68" s="42"/>
      <c r="E68" s="42"/>
      <c r="F68" s="200" t="s">
        <v>141</v>
      </c>
      <c r="G68" s="248">
        <v>0.42857000000000001</v>
      </c>
      <c r="H68" s="202"/>
      <c r="I68" s="217" t="e">
        <f>SUM(I67*G68)</f>
        <v>#DIV/0!</v>
      </c>
      <c r="J68" s="203" t="e">
        <f>SUM(J67*G68)</f>
        <v>#DIV/0!</v>
      </c>
      <c r="K68" s="203" t="e">
        <f>SUM(K67*G68)</f>
        <v>#DIV/0!</v>
      </c>
      <c r="L68" s="203" t="e">
        <f>SUM(L67*G68)</f>
        <v>#DIV/0!</v>
      </c>
      <c r="M68" s="203" t="e">
        <f>SUM(M67*G68)</f>
        <v>#DIV/0!</v>
      </c>
      <c r="N68" s="203" t="e">
        <f>SUM(I68:M68)</f>
        <v>#DIV/0!</v>
      </c>
      <c r="O68" s="144"/>
      <c r="P68" s="143"/>
      <c r="Q68" s="143"/>
      <c r="R68" s="143"/>
      <c r="S68" s="143"/>
      <c r="T68" s="143"/>
      <c r="U68" s="312" t="s">
        <v>229</v>
      </c>
      <c r="V68" s="313"/>
      <c r="W68" s="313"/>
      <c r="X68" s="313"/>
      <c r="Y68" s="313"/>
      <c r="Z68" s="313"/>
      <c r="AA68" s="313"/>
      <c r="AB68" s="313"/>
      <c r="AC68" s="313"/>
      <c r="AD68" s="313"/>
      <c r="AE68" s="313"/>
      <c r="AF68" s="313"/>
    </row>
    <row r="69" spans="1:32" ht="18" customHeight="1" thickBot="1" x14ac:dyDescent="0.35">
      <c r="A69" s="42"/>
      <c r="B69" s="221"/>
      <c r="C69" s="205"/>
      <c r="D69" s="205"/>
      <c r="E69" s="205"/>
      <c r="F69" s="328" t="s">
        <v>138</v>
      </c>
      <c r="G69" s="329"/>
      <c r="H69" s="330"/>
      <c r="I69" s="206" t="e">
        <f t="shared" ref="I69:N69" si="28">SUM(I67:I68)</f>
        <v>#DIV/0!</v>
      </c>
      <c r="J69" s="206" t="e">
        <f t="shared" si="28"/>
        <v>#DIV/0!</v>
      </c>
      <c r="K69" s="206" t="e">
        <f t="shared" si="28"/>
        <v>#DIV/0!</v>
      </c>
      <c r="L69" s="206" t="e">
        <f t="shared" si="28"/>
        <v>#DIV/0!</v>
      </c>
      <c r="M69" s="206" t="e">
        <f t="shared" si="28"/>
        <v>#DIV/0!</v>
      </c>
      <c r="N69" s="206" t="e">
        <f t="shared" si="28"/>
        <v>#DIV/0!</v>
      </c>
      <c r="O69" s="144"/>
      <c r="P69" s="143"/>
      <c r="Q69" s="143"/>
      <c r="R69" s="143"/>
      <c r="S69" s="143"/>
      <c r="T69" s="207"/>
      <c r="U69" s="208" t="s">
        <v>77</v>
      </c>
      <c r="V69" s="196"/>
      <c r="W69" s="218"/>
      <c r="X69" s="219">
        <f t="shared" ref="X69" si="29">W69*100000</f>
        <v>0</v>
      </c>
      <c r="Y69" s="219">
        <f t="shared" ref="Y69" si="30">100000-(W69*100000)</f>
        <v>100000</v>
      </c>
      <c r="Z69" s="219">
        <f t="shared" ref="Z69" si="31">SUM(X69:Y69)</f>
        <v>100000</v>
      </c>
      <c r="AA69" s="219">
        <f t="shared" ref="AA69" si="32">SUM(Z69/Y69)</f>
        <v>1</v>
      </c>
      <c r="AB69" s="220" t="s">
        <v>77</v>
      </c>
    </row>
    <row r="70" spans="1:32" ht="14.4" x14ac:dyDescent="0.3">
      <c r="B70" s="127" t="s">
        <v>77</v>
      </c>
      <c r="V70" s="196" t="s">
        <v>137</v>
      </c>
      <c r="W70" s="191" t="s">
        <v>134</v>
      </c>
      <c r="X70" s="191"/>
      <c r="Y70" s="191"/>
      <c r="Z70" s="191"/>
      <c r="AA70" s="191"/>
      <c r="AB70" s="191" t="s">
        <v>135</v>
      </c>
    </row>
    <row r="71" spans="1:32" ht="14.4" x14ac:dyDescent="0.3">
      <c r="M71" s="36" t="s">
        <v>77</v>
      </c>
      <c r="V71" s="209" t="s">
        <v>142</v>
      </c>
      <c r="W71" s="197">
        <v>0.3</v>
      </c>
      <c r="X71" s="198">
        <f>W71*100000</f>
        <v>30000</v>
      </c>
      <c r="Y71" s="198">
        <f>100000-(W71*100000)</f>
        <v>70000</v>
      </c>
      <c r="Z71" s="198">
        <f>SUM(X71:Y71)</f>
        <v>100000</v>
      </c>
      <c r="AA71" s="198">
        <f>SUM(Z71/Y71)</f>
        <v>1.4285714285714286</v>
      </c>
      <c r="AB71" s="199">
        <f>SUM(AA71-1)</f>
        <v>0.4285714285714286</v>
      </c>
    </row>
    <row r="72" spans="1:32" ht="15" thickBot="1" x14ac:dyDescent="0.35">
      <c r="V72" s="222"/>
      <c r="W72" s="197">
        <v>0.22</v>
      </c>
      <c r="X72" s="198">
        <f>W72*100000</f>
        <v>22000</v>
      </c>
      <c r="Y72" s="198">
        <f>100000-(W72*100000)</f>
        <v>78000</v>
      </c>
      <c r="Z72" s="198">
        <f>SUM(X72:Y72)</f>
        <v>100000</v>
      </c>
      <c r="AA72" s="198">
        <f>SUM(Z72/Y72)</f>
        <v>1.2820512820512822</v>
      </c>
      <c r="AB72" s="199">
        <f>SUM(AA72-1)</f>
        <v>0.28205128205128216</v>
      </c>
    </row>
    <row r="73" spans="1:32" ht="14.4" x14ac:dyDescent="0.3">
      <c r="W73" s="197">
        <v>0.1</v>
      </c>
      <c r="X73" s="198">
        <f>W73*100000</f>
        <v>10000</v>
      </c>
      <c r="Y73" s="198">
        <f>100000-(W73*100000)</f>
        <v>90000</v>
      </c>
      <c r="Z73" s="198">
        <f>SUM(X73:Y73)</f>
        <v>100000</v>
      </c>
      <c r="AA73" s="198">
        <f>SUM(Z73/Y73)</f>
        <v>1.1111111111111112</v>
      </c>
      <c r="AB73" s="199">
        <f>SUM(AA73-1)</f>
        <v>0.11111111111111116</v>
      </c>
    </row>
    <row r="74" spans="1:32" ht="14.4" x14ac:dyDescent="0.3">
      <c r="G74" s="36"/>
      <c r="W74" s="213"/>
      <c r="X74" s="214">
        <f>W74*100000</f>
        <v>0</v>
      </c>
      <c r="Y74" s="214">
        <f>100000-(W74*100000)</f>
        <v>100000</v>
      </c>
      <c r="Z74" s="214">
        <f>SUM(X74:Y74)</f>
        <v>100000</v>
      </c>
      <c r="AA74" s="214">
        <f>SUM(Z74/Y74)</f>
        <v>1</v>
      </c>
      <c r="AB74" s="215">
        <f>SUM(AA74-1)</f>
        <v>0</v>
      </c>
    </row>
    <row r="75" spans="1:32" ht="14.4" x14ac:dyDescent="0.3">
      <c r="G75" s="36"/>
      <c r="W75" s="213"/>
      <c r="X75" s="214">
        <f>W75*100000</f>
        <v>0</v>
      </c>
      <c r="Y75" s="214">
        <f>100000-(W75*100000)</f>
        <v>100000</v>
      </c>
      <c r="Z75" s="214">
        <f>SUM(X75:Y75)</f>
        <v>100000</v>
      </c>
      <c r="AA75" s="214">
        <f>SUM(Z75/Y75)</f>
        <v>1</v>
      </c>
      <c r="AB75" s="215">
        <f>SUM(AA75-1)</f>
        <v>0</v>
      </c>
    </row>
    <row r="76" spans="1:32" x14ac:dyDescent="0.25">
      <c r="G76" s="36"/>
    </row>
    <row r="77" spans="1:32" x14ac:dyDescent="0.25">
      <c r="G77" s="36"/>
    </row>
    <row r="78" spans="1:32" x14ac:dyDescent="0.25">
      <c r="G78" s="36"/>
    </row>
    <row r="79" spans="1:32" x14ac:dyDescent="0.25">
      <c r="G79" s="36"/>
    </row>
    <row r="80" spans="1:32" x14ac:dyDescent="0.25">
      <c r="G80" s="36"/>
    </row>
    <row r="81" spans="7:7" x14ac:dyDescent="0.25">
      <c r="G81" s="36"/>
    </row>
    <row r="82" spans="7:7" x14ac:dyDescent="0.25">
      <c r="G82" s="36"/>
    </row>
    <row r="83" spans="7:7" x14ac:dyDescent="0.25">
      <c r="G83" s="36"/>
    </row>
    <row r="84" spans="7:7" x14ac:dyDescent="0.25">
      <c r="G84" s="36"/>
    </row>
  </sheetData>
  <mergeCells count="18">
    <mergeCell ref="F69:H69"/>
    <mergeCell ref="C36:H36"/>
    <mergeCell ref="C37:H37"/>
    <mergeCell ref="E54:F54"/>
    <mergeCell ref="F62:H62"/>
    <mergeCell ref="F63:H63"/>
    <mergeCell ref="B64:D66"/>
    <mergeCell ref="F65:H65"/>
    <mergeCell ref="U4:AG4"/>
    <mergeCell ref="U68:AF68"/>
    <mergeCell ref="U64:AG64"/>
    <mergeCell ref="F67:H67"/>
    <mergeCell ref="C35:H35"/>
    <mergeCell ref="G4:G5"/>
    <mergeCell ref="H4:H5"/>
    <mergeCell ref="C5:E5"/>
    <mergeCell ref="I23:M23"/>
    <mergeCell ref="C33:H33"/>
  </mergeCells>
  <hyperlinks>
    <hyperlink ref="C37:H37" location="Materials_Supplies!A1" display="Enter on yellow tab below" xr:uid="{00000000-0004-0000-0000-000001000000}"/>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V80"/>
  <sheetViews>
    <sheetView topLeftCell="A88" zoomScale="110" zoomScaleNormal="110" workbookViewId="0">
      <selection activeCell="E10" sqref="E10"/>
    </sheetView>
  </sheetViews>
  <sheetFormatPr defaultRowHeight="14.4" x14ac:dyDescent="0.3"/>
  <cols>
    <col min="1" max="1" width="15" customWidth="1"/>
    <col min="3" max="3" width="24" style="5" customWidth="1"/>
    <col min="4" max="4" width="19.6640625" style="6" customWidth="1"/>
    <col min="5" max="5" width="12.44140625" customWidth="1"/>
    <col min="6" max="6" width="14.6640625" customWidth="1"/>
    <col min="7" max="7" width="19" customWidth="1"/>
    <col min="8" max="8" width="11.88671875" customWidth="1"/>
    <col min="9" max="10" width="9.109375" customWidth="1"/>
    <col min="11" max="11" width="24" customWidth="1"/>
    <col min="12" max="13" width="9.109375" customWidth="1"/>
    <col min="21" max="21" width="10.33203125" customWidth="1"/>
  </cols>
  <sheetData>
    <row r="1" spans="3:12" ht="15" thickBot="1" x14ac:dyDescent="0.35">
      <c r="C1" s="25" t="s">
        <v>25</v>
      </c>
      <c r="D1" s="35" t="s">
        <v>0</v>
      </c>
      <c r="E1" s="26" t="s">
        <v>25</v>
      </c>
    </row>
    <row r="2" spans="3:12" ht="18" customHeight="1" x14ac:dyDescent="0.3">
      <c r="C2" s="20" t="s">
        <v>61</v>
      </c>
      <c r="D2" s="7"/>
      <c r="E2" s="12" t="str">
        <f>IF(D2-(+H40)&lt;0,"&lt;-Error - Total Subaward Amts &gt; Total Requested Amt: " &amp; +D2-(+H40),"")</f>
        <v/>
      </c>
      <c r="F2" s="353" t="s">
        <v>26</v>
      </c>
      <c r="G2" s="354"/>
      <c r="H2" s="15"/>
      <c r="I2" s="9"/>
      <c r="J2" s="9"/>
      <c r="K2" s="9"/>
    </row>
    <row r="3" spans="3:12" ht="14.25" customHeight="1" thickBot="1" x14ac:dyDescent="0.35">
      <c r="C3" s="20" t="s">
        <v>62</v>
      </c>
      <c r="D3" s="7"/>
      <c r="E3" s="12" t="str">
        <f>IF(D2-H40-D3&lt;0,"&lt;-Error - Total Exclusion Amt &gt; Total Requested Amt: " &amp; +D2-H40-D3,"")</f>
        <v/>
      </c>
      <c r="F3" s="355"/>
      <c r="G3" s="356"/>
      <c r="H3" s="9"/>
      <c r="I3" s="9"/>
      <c r="J3" s="9"/>
      <c r="K3" s="9"/>
    </row>
    <row r="4" spans="3:12" x14ac:dyDescent="0.3">
      <c r="C4" s="20"/>
      <c r="D4" s="1"/>
      <c r="E4" s="9"/>
      <c r="H4" s="9"/>
      <c r="I4" s="9"/>
      <c r="J4" s="9"/>
      <c r="K4" s="9"/>
    </row>
    <row r="5" spans="3:12" x14ac:dyDescent="0.3">
      <c r="C5" s="5" t="s">
        <v>63</v>
      </c>
      <c r="D5" s="1">
        <f>+D2+L18+L22+L26+L30+L34+L38+L42+L46+L50+L54+L58+L62+L66+L70+L74-D3-D80</f>
        <v>0</v>
      </c>
    </row>
    <row r="6" spans="3:12" x14ac:dyDescent="0.3">
      <c r="D6" s="1"/>
    </row>
    <row r="7" spans="3:12" x14ac:dyDescent="0.3">
      <c r="C7" s="5" t="s">
        <v>64</v>
      </c>
      <c r="D7" s="8">
        <v>0.56000000000000005</v>
      </c>
      <c r="H7" s="1">
        <f>ROUND(+D5*D7,0)</f>
        <v>0</v>
      </c>
      <c r="I7" s="9" t="s">
        <v>66</v>
      </c>
    </row>
    <row r="8" spans="3:12" ht="15" thickBot="1" x14ac:dyDescent="0.35">
      <c r="D8" s="5"/>
      <c r="H8" s="1"/>
      <c r="I8" s="9"/>
    </row>
    <row r="9" spans="3:12" ht="32.25" customHeight="1" x14ac:dyDescent="0.3">
      <c r="C9" s="351" t="str">
        <f>IF(+D9="Use USDA TFFA Rate Type &amp; Rate -&gt;","Total Federal Funds Awarded (TFFA Rate " &amp; ROUND(+E10/(+E10+D2),4) &amp; ")","")</f>
        <v/>
      </c>
      <c r="D9" s="349" t="str">
        <f>IF(+D14&gt;0,+H16 &amp; " &amp; Rate -&gt;","")</f>
        <v/>
      </c>
      <c r="E9" s="246" t="s">
        <v>65</v>
      </c>
      <c r="F9" s="247" t="str">
        <f>"Final Rate"</f>
        <v>Final Rate</v>
      </c>
      <c r="H9" s="1"/>
      <c r="I9" s="9"/>
    </row>
    <row r="10" spans="3:12" ht="48" customHeight="1" thickBot="1" x14ac:dyDescent="0.35">
      <c r="C10" s="352"/>
      <c r="D10" s="350"/>
      <c r="E10" s="34">
        <f>+D16</f>
        <v>0</v>
      </c>
      <c r="F10" s="27" t="e">
        <f>IF(+D9="Use USDA TFFA Rate Type &amp; Rate -&gt;",ROUND(+E10/+D2,4),ROUND(+D13,4))</f>
        <v>#VALUE!</v>
      </c>
      <c r="G10" s="22"/>
      <c r="H10" s="17">
        <f>+H7-D16</f>
        <v>0</v>
      </c>
      <c r="I10" s="16" t="s">
        <v>24</v>
      </c>
    </row>
    <row r="11" spans="3:12" ht="12.75" customHeight="1" x14ac:dyDescent="0.3">
      <c r="C11" s="1"/>
      <c r="D11" s="1"/>
      <c r="E11" s="1"/>
      <c r="F11" s="1"/>
      <c r="G11" s="1"/>
      <c r="H11" s="1"/>
      <c r="I11" s="16"/>
    </row>
    <row r="12" spans="3:12" ht="12.75" customHeight="1" x14ac:dyDescent="0.3">
      <c r="C12" s="1"/>
      <c r="D12" s="1"/>
      <c r="E12" s="1"/>
      <c r="F12" s="1"/>
      <c r="G12" s="1"/>
      <c r="H12" s="1"/>
      <c r="I12" s="16"/>
    </row>
    <row r="13" spans="3:12" x14ac:dyDescent="0.3">
      <c r="C13" s="5" t="str">
        <f>+I26</f>
        <v>Adjusted OSU Effective MTDC Rate</v>
      </c>
      <c r="D13" s="2" t="str">
        <f>IF(+H21&gt;0,ROUND(+H26,4),"")</f>
        <v/>
      </c>
      <c r="E13" s="12" t="str">
        <f>IF(D13&lt;=0,"&lt;-Error - Rate can not be negative","")</f>
        <v/>
      </c>
      <c r="F13" s="5"/>
      <c r="G13" s="5"/>
      <c r="H13" s="18">
        <f>+D2*(0.42857)</f>
        <v>0</v>
      </c>
      <c r="I13" s="19" t="s">
        <v>13</v>
      </c>
      <c r="J13" s="19"/>
      <c r="K13" s="19"/>
      <c r="L13" s="2" t="e">
        <f>+H10/H13</f>
        <v>#DIV/0!</v>
      </c>
    </row>
    <row r="14" spans="3:12" x14ac:dyDescent="0.3">
      <c r="C14" s="20" t="str">
        <f>+I28</f>
        <v>Total Claimed F&amp;A</v>
      </c>
      <c r="D14" s="24">
        <f>+H28</f>
        <v>0</v>
      </c>
      <c r="E14" s="12" t="str">
        <f>IF(D14&lt;0,"&lt;-Error - Amount can not be negative","")</f>
        <v/>
      </c>
      <c r="G14" s="30"/>
      <c r="H14" s="10">
        <f>+D19+D23+D27+D31+D35+D39+D43+D47+D51+D55+D59+D63+D67+D71+D75</f>
        <v>0</v>
      </c>
      <c r="I14" t="s">
        <v>12</v>
      </c>
    </row>
    <row r="15" spans="3:12" x14ac:dyDescent="0.3">
      <c r="C15" s="5" t="str">
        <f>+I29</f>
        <v>Subaward IDC Amount</v>
      </c>
      <c r="D15" s="14">
        <f>+H29</f>
        <v>0</v>
      </c>
      <c r="E15" s="12" t="str">
        <f>IF(D15&lt;0,"&lt;-Error - Amount can not be negative","")</f>
        <v/>
      </c>
      <c r="G15" s="30"/>
      <c r="H15" s="10">
        <f>IF(+H13-H7&gt;0,+H13-H7,0)</f>
        <v>0</v>
      </c>
      <c r="I15" t="s">
        <v>67</v>
      </c>
    </row>
    <row r="16" spans="3:12" x14ac:dyDescent="0.3">
      <c r="C16" s="5" t="str">
        <f>+I30</f>
        <v>OSU IDC Amount</v>
      </c>
      <c r="D16" s="14">
        <f>+H30</f>
        <v>0</v>
      </c>
      <c r="E16" s="12" t="str">
        <f>IF(D16&lt;0,"&lt;-Error - Amount can not be negative","")</f>
        <v/>
      </c>
      <c r="F16" s="11"/>
      <c r="G16" s="30"/>
      <c r="H16" s="28" t="str">
        <f>IF(H7&gt;H13, "Use USDA TFFA Rate Type","Use MTDC Rate Type")</f>
        <v>Use MTDC Rate Type</v>
      </c>
    </row>
    <row r="17" spans="2:21" x14ac:dyDescent="0.3">
      <c r="G17" s="30"/>
      <c r="L17" t="s">
        <v>11</v>
      </c>
      <c r="R17" s="10"/>
    </row>
    <row r="18" spans="2:21" x14ac:dyDescent="0.3">
      <c r="C18" s="5" t="s">
        <v>1</v>
      </c>
      <c r="D18" s="7"/>
      <c r="E18" s="5" t="str">
        <f>IF(+E19&lt;&gt;"","Max F&amp;A","")</f>
        <v/>
      </c>
      <c r="F18" s="5"/>
      <c r="G18" s="5"/>
      <c r="L18">
        <f>IF(D18+D19&gt;=25000,25000,+D18+D19)</f>
        <v>0</v>
      </c>
    </row>
    <row r="19" spans="2:21" x14ac:dyDescent="0.3">
      <c r="C19" s="5" t="s">
        <v>2</v>
      </c>
      <c r="D19" s="7"/>
      <c r="E19" s="1" t="str">
        <f>IF(+D19&gt;0,(ROUND(+D18*(30/70),0)),"")</f>
        <v/>
      </c>
      <c r="F19" s="12" t="str">
        <f>IF(D19&gt;E19,"&lt;-Error - higher than TFFA amount","")</f>
        <v/>
      </c>
      <c r="H19" s="1">
        <f>IF(H16 = "Use USDA TFFA Rate Type",+H13,+H7)</f>
        <v>0</v>
      </c>
      <c r="I19" t="s">
        <v>21</v>
      </c>
    </row>
    <row r="20" spans="2:21" ht="15" thickBot="1" x14ac:dyDescent="0.35">
      <c r="C20" s="5" t="s">
        <v>14</v>
      </c>
      <c r="D20" s="23">
        <f>+D18+D19</f>
        <v>0</v>
      </c>
      <c r="H20" s="6" t="str">
        <f>IF(H7+H14&lt;H13,"Yes", "No")</f>
        <v>No</v>
      </c>
      <c r="I20" t="s">
        <v>68</v>
      </c>
    </row>
    <row r="21" spans="2:21" x14ac:dyDescent="0.3">
      <c r="H21" s="10">
        <f>IF(+H20="Yes",+H19,+H19-H14)</f>
        <v>0</v>
      </c>
      <c r="I21" t="s">
        <v>69</v>
      </c>
    </row>
    <row r="22" spans="2:21" x14ac:dyDescent="0.3">
      <c r="C22" s="5" t="s">
        <v>3</v>
      </c>
      <c r="D22" s="7"/>
      <c r="E22" s="5" t="str">
        <f>IF(+E23&lt;&gt;"","Max F&amp;A","")</f>
        <v/>
      </c>
      <c r="F22" s="5"/>
      <c r="G22" s="5"/>
      <c r="H22" s="2" t="e">
        <f>+H21/D5</f>
        <v>#DIV/0!</v>
      </c>
      <c r="I22" t="s">
        <v>70</v>
      </c>
      <c r="L22">
        <f>IF(D22+D23&gt;=25000,25000,+D22+D23)</f>
        <v>0</v>
      </c>
    </row>
    <row r="23" spans="2:21" x14ac:dyDescent="0.3">
      <c r="C23" s="5" t="s">
        <v>4</v>
      </c>
      <c r="D23" s="7"/>
      <c r="E23" s="1" t="str">
        <f>IF(+D23&gt;0,(ROUND(+D22*(30/70),0)),"")</f>
        <v/>
      </c>
      <c r="F23" s="12" t="str">
        <f>IF(D23&gt;E23,"&lt;-Error - higher than TFFA amount","")</f>
        <v/>
      </c>
      <c r="H23" s="10">
        <f>IF(+H20="Yes",+H14,+H19-H21)</f>
        <v>0</v>
      </c>
      <c r="I23" t="s">
        <v>12</v>
      </c>
    </row>
    <row r="24" spans="2:21" ht="15" thickBot="1" x14ac:dyDescent="0.35">
      <c r="C24" s="5" t="s">
        <v>15</v>
      </c>
      <c r="D24" s="23">
        <f>+D22+D23</f>
        <v>0</v>
      </c>
      <c r="H24" s="10">
        <f>IF(H15&lt;H14,+H15,0)</f>
        <v>0</v>
      </c>
      <c r="I24" t="e">
        <f>IF(+H22&lt;D7,"Available OSU MTDC Bonus Amount up to Cap","No Bonus")</f>
        <v>#DIV/0!</v>
      </c>
    </row>
    <row r="25" spans="2:21" x14ac:dyDescent="0.3">
      <c r="H25" s="13">
        <f>+H21+H24</f>
        <v>0</v>
      </c>
      <c r="I25" t="s">
        <v>19</v>
      </c>
    </row>
    <row r="26" spans="2:21" x14ac:dyDescent="0.3">
      <c r="C26" s="5" t="s">
        <v>5</v>
      </c>
      <c r="D26" s="7"/>
      <c r="E26" s="5" t="str">
        <f>IF(+E27&lt;&gt;"","Max F&amp;A","")</f>
        <v/>
      </c>
      <c r="F26" s="5"/>
      <c r="G26" s="5"/>
      <c r="H26" s="2" t="e">
        <f>+H25/D5</f>
        <v>#DIV/0!</v>
      </c>
      <c r="I26" t="s">
        <v>71</v>
      </c>
      <c r="L26">
        <f>IF(D26+D27&gt;=25000,25000,+D26+D27)</f>
        <v>0</v>
      </c>
    </row>
    <row r="27" spans="2:21" x14ac:dyDescent="0.3">
      <c r="C27" s="5" t="s">
        <v>6</v>
      </c>
      <c r="D27" s="7"/>
      <c r="E27" s="1" t="str">
        <f>IF(+D27&gt;0,(ROUND(+D26*(30/70),0)),"")</f>
        <v/>
      </c>
      <c r="F27" s="12" t="str">
        <f>IF(D27&gt;E27,"&lt;-Error - higher than TFFA amount","")</f>
        <v/>
      </c>
    </row>
    <row r="28" spans="2:21" ht="15" thickBot="1" x14ac:dyDescent="0.35">
      <c r="C28" s="5" t="s">
        <v>16</v>
      </c>
      <c r="D28" s="23">
        <f>+D26+D27</f>
        <v>0</v>
      </c>
      <c r="H28" s="10">
        <f>+H23+H25</f>
        <v>0</v>
      </c>
      <c r="I28" t="s">
        <v>20</v>
      </c>
    </row>
    <row r="29" spans="2:21" ht="13.5" customHeight="1" x14ac:dyDescent="0.3">
      <c r="H29" s="10">
        <f>+H23</f>
        <v>0</v>
      </c>
      <c r="I29" t="str">
        <f>+I23</f>
        <v>Subaward IDC Amount</v>
      </c>
    </row>
    <row r="30" spans="2:21" x14ac:dyDescent="0.3">
      <c r="C30" s="5" t="s">
        <v>7</v>
      </c>
      <c r="D30" s="7"/>
      <c r="E30" s="5" t="str">
        <f>IF(+E31&lt;&gt;"","Max F&amp;A","")</f>
        <v/>
      </c>
      <c r="F30" s="5"/>
      <c r="G30" s="5"/>
      <c r="H30" s="10">
        <f>+H28-H29</f>
        <v>0</v>
      </c>
      <c r="I30" t="s">
        <v>72</v>
      </c>
      <c r="L30">
        <f>IF(D30+D31&gt;=25000,25000,+D30+D31)</f>
        <v>0</v>
      </c>
    </row>
    <row r="31" spans="2:21" x14ac:dyDescent="0.3">
      <c r="C31" s="5" t="s">
        <v>8</v>
      </c>
      <c r="D31" s="7"/>
      <c r="E31" s="1" t="str">
        <f>IF(+D31&gt;0,(ROUND(+D30*(30/70),0)),"")</f>
        <v/>
      </c>
      <c r="F31" s="12" t="str">
        <f>IF(D31&gt;E31,"&lt;-Error - higher than TFFA amount","")</f>
        <v/>
      </c>
    </row>
    <row r="32" spans="2:21" ht="21.75" customHeight="1" thickBot="1" x14ac:dyDescent="0.35">
      <c r="B32" s="1"/>
      <c r="C32" s="5" t="s">
        <v>17</v>
      </c>
      <c r="D32" s="23">
        <f>+D30+D31</f>
        <v>0</v>
      </c>
      <c r="U32" s="1"/>
    </row>
    <row r="33" spans="2:22" x14ac:dyDescent="0.3">
      <c r="B33" s="1"/>
      <c r="E33" s="3"/>
      <c r="F33" s="3"/>
      <c r="G33" s="3"/>
      <c r="H33" s="21" t="e">
        <f>+H23/D14</f>
        <v>#DIV/0!</v>
      </c>
      <c r="I33" s="12" t="s">
        <v>22</v>
      </c>
      <c r="J33" s="3"/>
      <c r="K33" s="3"/>
      <c r="N33" s="2"/>
      <c r="O33" s="4"/>
      <c r="P33" s="1"/>
      <c r="Q33" s="1"/>
      <c r="R33" s="1"/>
      <c r="S33" s="1"/>
      <c r="T33" s="1"/>
      <c r="U33" s="1"/>
    </row>
    <row r="34" spans="2:22" x14ac:dyDescent="0.3">
      <c r="B34" s="1"/>
      <c r="C34" s="5" t="s">
        <v>9</v>
      </c>
      <c r="D34" s="7"/>
      <c r="E34" s="5" t="str">
        <f>IF(+E35&lt;&gt;"","Max F&amp;A","")</f>
        <v/>
      </c>
      <c r="F34" s="5"/>
      <c r="G34" s="5"/>
      <c r="H34" s="21" t="e">
        <f>(+D20+D24+D28+D32+D36)/D2</f>
        <v>#DIV/0!</v>
      </c>
      <c r="I34" s="12" t="s">
        <v>23</v>
      </c>
      <c r="J34" s="3"/>
      <c r="K34" s="3"/>
      <c r="L34">
        <f>IF(D34+D35&gt;=25000,25000,+D34+D35)</f>
        <v>0</v>
      </c>
      <c r="N34" s="2"/>
      <c r="O34" s="4"/>
      <c r="P34" s="1"/>
      <c r="Q34" s="1"/>
      <c r="R34" s="1"/>
      <c r="S34" s="1"/>
      <c r="T34" s="1"/>
      <c r="U34" s="1"/>
    </row>
    <row r="35" spans="2:22" x14ac:dyDescent="0.3">
      <c r="B35" s="1"/>
      <c r="C35" s="5" t="s">
        <v>10</v>
      </c>
      <c r="D35" s="7"/>
      <c r="E35" s="1" t="str">
        <f>IF(+D35&gt;0,(ROUND(+D34*(30/70),0)),"")</f>
        <v/>
      </c>
      <c r="F35" s="12" t="str">
        <f>IF(D35&gt;E35,"&lt;-Error - higher than TFFA amount","")</f>
        <v/>
      </c>
      <c r="J35" s="3"/>
      <c r="K35" s="3"/>
      <c r="N35" s="2"/>
      <c r="O35" s="4"/>
      <c r="P35" s="1"/>
      <c r="Q35" s="1"/>
      <c r="R35" s="1"/>
      <c r="S35" s="1"/>
      <c r="T35" s="1"/>
      <c r="U35" s="1"/>
    </row>
    <row r="36" spans="2:22" ht="15" thickBot="1" x14ac:dyDescent="0.35">
      <c r="B36" s="1"/>
      <c r="C36" s="5" t="s">
        <v>18</v>
      </c>
      <c r="D36" s="23">
        <f>+D34+D35</f>
        <v>0</v>
      </c>
      <c r="E36" s="3"/>
      <c r="F36" s="3"/>
      <c r="G36" s="3"/>
      <c r="J36" s="3"/>
      <c r="K36" s="3"/>
      <c r="N36" s="2"/>
      <c r="O36" s="4"/>
      <c r="P36" s="1"/>
      <c r="Q36" s="1"/>
      <c r="R36" s="1"/>
      <c r="S36" s="1"/>
      <c r="T36" s="1"/>
      <c r="U36" s="1"/>
    </row>
    <row r="37" spans="2:22" x14ac:dyDescent="0.3">
      <c r="B37" s="1"/>
      <c r="D37" s="5"/>
      <c r="E37" s="3"/>
      <c r="F37" s="3"/>
      <c r="G37" s="3"/>
      <c r="H37" s="10"/>
      <c r="J37" s="3"/>
      <c r="K37" s="3"/>
      <c r="N37" s="2"/>
      <c r="O37" s="4"/>
      <c r="P37" s="1"/>
      <c r="Q37" s="1"/>
      <c r="R37" s="1"/>
      <c r="S37" s="1"/>
      <c r="T37" s="1"/>
      <c r="U37" s="1"/>
    </row>
    <row r="38" spans="2:22" x14ac:dyDescent="0.3">
      <c r="B38" s="1"/>
      <c r="C38" s="5" t="s">
        <v>27</v>
      </c>
      <c r="D38" s="7"/>
      <c r="E38" s="5" t="str">
        <f>IF(+E39&lt;&gt;"","Max F&amp;A","")</f>
        <v/>
      </c>
      <c r="F38" s="5"/>
      <c r="G38" s="3"/>
      <c r="H38" s="10">
        <f>+D18+D22+D26+D30+D34+D38+D42+D46+D50+D54+D58+D62+D66+D70+D74</f>
        <v>0</v>
      </c>
      <c r="I38" t="s">
        <v>58</v>
      </c>
      <c r="J38" s="3"/>
      <c r="K38" s="3"/>
      <c r="L38">
        <f>IF(D38+D39&gt;=25000,25000,+D38+D39)</f>
        <v>0</v>
      </c>
      <c r="N38" s="2"/>
      <c r="O38" s="4"/>
      <c r="P38" s="1"/>
      <c r="Q38" s="1"/>
      <c r="R38" s="1"/>
      <c r="S38" s="1"/>
      <c r="T38" s="1"/>
      <c r="U38" s="1"/>
    </row>
    <row r="39" spans="2:22" x14ac:dyDescent="0.3">
      <c r="B39" s="1"/>
      <c r="C39" s="5" t="s">
        <v>28</v>
      </c>
      <c r="D39" s="7"/>
      <c r="E39" s="1" t="str">
        <f>IF(+D39&gt;0,(ROUND(+D38*(30/70),0)),"")</f>
        <v/>
      </c>
      <c r="F39" s="12" t="str">
        <f>IF(D39&gt;E39,"&lt;-Error - higher than TFFA amount","")</f>
        <v/>
      </c>
      <c r="G39" s="3"/>
      <c r="H39" s="10">
        <f>+D19+D23+D27+D31+D35+D39+D43+D47+D51+D55+D59+D63+D67+D71+D75</f>
        <v>0</v>
      </c>
      <c r="I39" t="s">
        <v>57</v>
      </c>
      <c r="J39" s="3"/>
      <c r="K39" s="3"/>
      <c r="N39" s="2"/>
      <c r="O39" s="4"/>
      <c r="P39" s="1"/>
      <c r="Q39" s="1"/>
      <c r="R39" s="1"/>
      <c r="S39" s="1"/>
      <c r="T39" s="1"/>
      <c r="U39" s="1"/>
    </row>
    <row r="40" spans="2:22" ht="15" thickBot="1" x14ac:dyDescent="0.35">
      <c r="B40" s="1"/>
      <c r="C40" s="5" t="s">
        <v>29</v>
      </c>
      <c r="D40" s="23">
        <f>+D38+D39</f>
        <v>0</v>
      </c>
      <c r="E40" s="3"/>
      <c r="F40" s="3"/>
      <c r="G40" s="3"/>
      <c r="H40" s="10">
        <f>SUM(H38:H39)</f>
        <v>0</v>
      </c>
      <c r="I40" t="s">
        <v>59</v>
      </c>
      <c r="J40" s="3"/>
      <c r="K40" s="3"/>
      <c r="N40" s="2"/>
      <c r="O40" s="4"/>
      <c r="P40" s="1"/>
      <c r="Q40" s="1"/>
      <c r="R40" s="1"/>
      <c r="S40" s="1"/>
      <c r="T40" s="1"/>
      <c r="U40" s="1"/>
    </row>
    <row r="41" spans="2:22" x14ac:dyDescent="0.3">
      <c r="B41" s="1"/>
      <c r="D41" s="5"/>
      <c r="E41" s="3"/>
      <c r="F41" s="3"/>
      <c r="G41" s="3"/>
      <c r="J41" s="3"/>
      <c r="K41" s="3"/>
      <c r="N41" s="2"/>
      <c r="O41" s="4"/>
      <c r="P41" s="1"/>
      <c r="Q41" s="1"/>
      <c r="R41" s="1"/>
      <c r="S41" s="1"/>
      <c r="T41" s="1"/>
      <c r="U41" s="1"/>
    </row>
    <row r="42" spans="2:22" x14ac:dyDescent="0.3">
      <c r="B42" s="1"/>
      <c r="C42" s="5" t="s">
        <v>30</v>
      </c>
      <c r="D42" s="7"/>
      <c r="E42" s="5" t="str">
        <f>IF(+E43&lt;&gt;"","Max F&amp;A","")</f>
        <v/>
      </c>
      <c r="F42" s="5"/>
      <c r="G42" s="3"/>
      <c r="J42" s="3"/>
      <c r="K42" s="3"/>
      <c r="L42">
        <f>IF(D42+D43&gt;=25000,25000,+D42+D43)</f>
        <v>0</v>
      </c>
      <c r="N42" s="2"/>
      <c r="O42" s="4"/>
      <c r="P42" s="1"/>
      <c r="Q42" s="1"/>
      <c r="R42" s="1"/>
      <c r="S42" s="1"/>
      <c r="T42" s="1"/>
      <c r="U42" s="1"/>
    </row>
    <row r="43" spans="2:22" x14ac:dyDescent="0.3">
      <c r="B43" s="1"/>
      <c r="C43" s="5" t="s">
        <v>31</v>
      </c>
      <c r="D43" s="7"/>
      <c r="E43" s="1" t="str">
        <f>IF(+D43&gt;0,(ROUND(+D42*(30/70),0)),"")</f>
        <v/>
      </c>
      <c r="F43" s="12" t="str">
        <f>IF(D43&gt;E43,"&lt;-Error - higher than TFFA amount","")</f>
        <v/>
      </c>
      <c r="G43" s="3"/>
      <c r="H43" s="10">
        <f>+D2</f>
        <v>0</v>
      </c>
      <c r="J43" s="3"/>
      <c r="K43" s="3"/>
      <c r="N43" s="2"/>
      <c r="O43" s="4"/>
      <c r="P43" s="1"/>
      <c r="Q43" s="1"/>
      <c r="R43" s="1"/>
      <c r="S43" s="1"/>
      <c r="T43" s="1"/>
      <c r="U43" s="1"/>
    </row>
    <row r="44" spans="2:22" ht="15" thickBot="1" x14ac:dyDescent="0.35">
      <c r="C44" s="5" t="s">
        <v>32</v>
      </c>
      <c r="D44" s="23">
        <f>+D42+D43</f>
        <v>0</v>
      </c>
      <c r="E44" s="3"/>
      <c r="F44" s="3"/>
      <c r="H44" s="1">
        <f>-D3</f>
        <v>0</v>
      </c>
      <c r="I44" s="1"/>
      <c r="J44" s="1"/>
      <c r="K44" s="1"/>
      <c r="L44" s="1"/>
      <c r="M44" s="1"/>
      <c r="N44" s="1"/>
      <c r="O44" s="1"/>
      <c r="P44" s="1"/>
      <c r="Q44" s="1"/>
      <c r="R44" s="1"/>
      <c r="S44" s="1"/>
      <c r="T44" s="1"/>
      <c r="U44" s="1"/>
      <c r="V44" s="1"/>
    </row>
    <row r="45" spans="2:22" x14ac:dyDescent="0.3">
      <c r="B45" s="1"/>
      <c r="C45" s="1"/>
      <c r="D45" s="1"/>
      <c r="E45" s="1"/>
      <c r="F45" s="1"/>
      <c r="G45" s="1"/>
      <c r="H45" s="1">
        <f>-D80</f>
        <v>0</v>
      </c>
      <c r="I45" s="1"/>
      <c r="J45" s="1"/>
      <c r="K45" s="1"/>
      <c r="L45" s="1"/>
      <c r="M45" s="1"/>
      <c r="N45" s="1"/>
      <c r="O45" s="1"/>
      <c r="P45" s="1"/>
      <c r="Q45" s="1"/>
      <c r="R45" s="1"/>
      <c r="S45" s="1"/>
      <c r="T45" s="1"/>
      <c r="U45" s="1"/>
      <c r="V45" s="1"/>
    </row>
    <row r="46" spans="2:22" x14ac:dyDescent="0.3">
      <c r="B46" s="1"/>
      <c r="C46" s="5" t="s">
        <v>33</v>
      </c>
      <c r="D46" s="7"/>
      <c r="E46" s="5" t="str">
        <f>IF(+E47&lt;&gt;"","Max F&amp;A","")</f>
        <v/>
      </c>
      <c r="F46" s="5"/>
      <c r="G46" s="1"/>
      <c r="H46" s="1">
        <f>+L78</f>
        <v>0</v>
      </c>
      <c r="I46" s="1"/>
      <c r="J46" s="1"/>
      <c r="K46" s="1"/>
      <c r="L46">
        <f>IF(D46+D47&gt;=25000,25000,+D46+D47)</f>
        <v>0</v>
      </c>
      <c r="M46" s="1"/>
      <c r="N46" s="1"/>
      <c r="O46" s="1"/>
      <c r="P46" s="1"/>
      <c r="Q46" s="1"/>
      <c r="R46" s="1"/>
      <c r="S46" s="1"/>
      <c r="T46" s="1"/>
      <c r="U46" s="1"/>
      <c r="V46" s="1"/>
    </row>
    <row r="47" spans="2:22" ht="15" thickBot="1" x14ac:dyDescent="0.35">
      <c r="B47" s="1"/>
      <c r="C47" s="5" t="s">
        <v>34</v>
      </c>
      <c r="D47" s="7"/>
      <c r="E47" s="1" t="str">
        <f>IF(+D47&gt;0,(ROUND(+D46*(30/70),0)),"")</f>
        <v/>
      </c>
      <c r="F47" s="12" t="str">
        <f>IF(D47&gt;E47,"&lt;-Error - higher than TFFA amount","")</f>
        <v/>
      </c>
      <c r="G47" s="1"/>
      <c r="H47" s="32">
        <f>SUM(H43:H46)</f>
        <v>0</v>
      </c>
      <c r="I47" s="1"/>
      <c r="J47" s="1"/>
      <c r="K47" s="1"/>
      <c r="L47" s="1"/>
      <c r="M47" s="1"/>
      <c r="N47" s="1"/>
      <c r="O47" s="1"/>
      <c r="P47" s="1"/>
      <c r="Q47" s="1"/>
      <c r="R47" s="1"/>
      <c r="S47" s="1"/>
      <c r="T47" s="1"/>
      <c r="U47" s="1"/>
      <c r="V47" s="1"/>
    </row>
    <row r="48" spans="2:22" ht="15.6" thickTop="1" thickBot="1" x14ac:dyDescent="0.35">
      <c r="B48" s="1"/>
      <c r="C48" s="5" t="s">
        <v>35</v>
      </c>
      <c r="D48" s="23">
        <f>+D46+D47</f>
        <v>0</v>
      </c>
      <c r="E48" s="3"/>
      <c r="F48" s="3"/>
      <c r="G48" s="1"/>
      <c r="H48" s="31" t="e">
        <f>+F10</f>
        <v>#VALUE!</v>
      </c>
      <c r="I48" s="1"/>
      <c r="J48" s="1"/>
      <c r="K48" s="1"/>
      <c r="L48" s="1"/>
      <c r="M48" s="1"/>
      <c r="N48" s="1"/>
      <c r="O48" s="1"/>
      <c r="P48" s="1"/>
      <c r="Q48" s="1"/>
      <c r="R48" s="1"/>
      <c r="S48" s="1"/>
      <c r="T48" s="1"/>
      <c r="U48" s="1"/>
      <c r="V48" s="1"/>
    </row>
    <row r="49" spans="2:22" ht="15" thickBot="1" x14ac:dyDescent="0.35">
      <c r="B49" s="1"/>
      <c r="C49" s="1"/>
      <c r="D49" s="1"/>
      <c r="E49" s="1"/>
      <c r="F49" s="1"/>
      <c r="G49" s="1"/>
      <c r="H49" s="33" t="e">
        <f>+H47*H48</f>
        <v>#VALUE!</v>
      </c>
      <c r="I49" s="1"/>
      <c r="J49" s="1"/>
      <c r="K49" s="1"/>
      <c r="L49" s="1"/>
      <c r="M49" s="1"/>
      <c r="N49" s="1"/>
      <c r="O49" s="1"/>
      <c r="P49" s="1"/>
      <c r="Q49" s="1"/>
      <c r="R49" s="1"/>
      <c r="S49" s="1"/>
      <c r="T49" s="1"/>
      <c r="U49" s="1"/>
      <c r="V49" s="1"/>
    </row>
    <row r="50" spans="2:22" x14ac:dyDescent="0.3">
      <c r="B50" s="1"/>
      <c r="C50" s="5" t="s">
        <v>36</v>
      </c>
      <c r="D50" s="7"/>
      <c r="E50" s="5" t="str">
        <f>IF(+E51&lt;&gt;"","Max F&amp;A","")</f>
        <v/>
      </c>
      <c r="F50" s="5"/>
      <c r="G50" s="1"/>
      <c r="H50" s="1"/>
      <c r="I50" s="1"/>
      <c r="J50" s="1"/>
      <c r="K50" s="1"/>
      <c r="L50">
        <f>IF(D50+D51&gt;=25000,25000,+D50+D51)</f>
        <v>0</v>
      </c>
      <c r="M50" s="1"/>
      <c r="N50" s="1"/>
      <c r="O50" s="1"/>
      <c r="P50" s="1"/>
      <c r="Q50" s="1"/>
      <c r="R50" s="1"/>
      <c r="S50" s="1"/>
      <c r="T50" s="1"/>
      <c r="U50" s="1"/>
      <c r="V50" s="1"/>
    </row>
    <row r="51" spans="2:22" x14ac:dyDescent="0.3">
      <c r="B51" s="1"/>
      <c r="C51" s="5" t="s">
        <v>37</v>
      </c>
      <c r="D51" s="7"/>
      <c r="E51" s="1" t="str">
        <f>IF(+D51&gt;0,(ROUND(+D50*(30/70),0)),"")</f>
        <v/>
      </c>
      <c r="F51" s="12" t="str">
        <f>IF(D51&gt;E51,"&lt;-Error - higher than TFFA amount","")</f>
        <v/>
      </c>
      <c r="G51" s="1"/>
      <c r="H51" s="1"/>
      <c r="I51" s="1"/>
      <c r="J51" s="1"/>
      <c r="K51" s="1"/>
      <c r="L51" s="1"/>
      <c r="M51" s="1"/>
      <c r="N51" s="1"/>
      <c r="O51" s="1"/>
      <c r="P51" s="1"/>
      <c r="Q51" s="1"/>
      <c r="R51" s="1"/>
      <c r="S51" s="1"/>
      <c r="T51" s="1"/>
      <c r="U51" s="1"/>
      <c r="V51" s="1"/>
    </row>
    <row r="52" spans="2:22" ht="15" thickBot="1" x14ac:dyDescent="0.35">
      <c r="B52" s="1"/>
      <c r="C52" s="5" t="s">
        <v>38</v>
      </c>
      <c r="D52" s="23">
        <f>+D50+D51</f>
        <v>0</v>
      </c>
      <c r="E52" s="3"/>
      <c r="F52" s="3"/>
      <c r="G52" s="1"/>
      <c r="H52" s="1"/>
      <c r="I52" s="1"/>
      <c r="J52" s="1"/>
      <c r="K52" s="1"/>
      <c r="L52" s="1"/>
      <c r="M52" s="1"/>
      <c r="N52" s="1"/>
      <c r="O52" s="1"/>
      <c r="P52" s="1"/>
      <c r="Q52" s="1"/>
      <c r="R52" s="1"/>
      <c r="S52" s="1"/>
      <c r="T52" s="1"/>
      <c r="U52" s="1"/>
      <c r="V52" s="1"/>
    </row>
    <row r="53" spans="2:22" x14ac:dyDescent="0.3">
      <c r="B53" s="1"/>
      <c r="C53" s="1"/>
      <c r="D53" s="1"/>
      <c r="E53" s="1"/>
      <c r="F53" s="1"/>
      <c r="G53" s="1"/>
      <c r="H53" s="1"/>
      <c r="I53" s="1"/>
      <c r="J53" s="1"/>
      <c r="K53" s="1"/>
      <c r="L53" s="1"/>
      <c r="M53" s="1"/>
      <c r="N53" s="1"/>
      <c r="O53" s="1"/>
      <c r="P53" s="1"/>
      <c r="Q53" s="1"/>
      <c r="R53" s="1"/>
      <c r="S53" s="1"/>
      <c r="T53" s="1"/>
      <c r="U53" s="1"/>
      <c r="V53" s="1"/>
    </row>
    <row r="54" spans="2:22" x14ac:dyDescent="0.3">
      <c r="B54" s="1"/>
      <c r="C54" s="5" t="s">
        <v>39</v>
      </c>
      <c r="D54" s="7"/>
      <c r="E54" s="5" t="str">
        <f>IF(+E55&lt;&gt;"","Max F&amp;A","")</f>
        <v/>
      </c>
      <c r="F54" s="5"/>
      <c r="G54" s="1"/>
      <c r="H54" s="1"/>
      <c r="I54" s="1"/>
      <c r="J54" s="1"/>
      <c r="K54" s="1"/>
      <c r="L54">
        <f>IF(D54+D55&gt;=25000,25000,+D54+D55)</f>
        <v>0</v>
      </c>
      <c r="M54" s="1"/>
      <c r="N54" s="1"/>
      <c r="O54" s="1"/>
      <c r="P54" s="1"/>
      <c r="Q54" s="1"/>
      <c r="R54" s="1"/>
      <c r="S54" s="1"/>
      <c r="T54" s="1"/>
      <c r="U54" s="1"/>
      <c r="V54" s="1"/>
    </row>
    <row r="55" spans="2:22" x14ac:dyDescent="0.3">
      <c r="B55" s="1"/>
      <c r="C55" s="5" t="s">
        <v>40</v>
      </c>
      <c r="D55" s="7"/>
      <c r="E55" s="1" t="str">
        <f>IF(+D55&gt;0,(ROUND(+D54*(30/70),0)),"")</f>
        <v/>
      </c>
      <c r="F55" s="12" t="str">
        <f>IF(D55&gt;E55,"&lt;-Error - higher than TFFA amount","")</f>
        <v/>
      </c>
      <c r="G55" s="1"/>
      <c r="H55" s="1"/>
      <c r="I55" s="1"/>
      <c r="J55" s="1"/>
      <c r="K55" s="1"/>
      <c r="L55" s="1"/>
      <c r="M55" s="1"/>
      <c r="N55" s="1"/>
      <c r="O55" s="1"/>
      <c r="P55" s="1"/>
      <c r="Q55" s="1"/>
      <c r="R55" s="1"/>
      <c r="S55" s="1"/>
      <c r="T55" s="1"/>
      <c r="U55" s="1"/>
      <c r="V55" s="1"/>
    </row>
    <row r="56" spans="2:22" ht="15" thickBot="1" x14ac:dyDescent="0.35">
      <c r="B56" s="1"/>
      <c r="C56" s="5" t="s">
        <v>41</v>
      </c>
      <c r="D56" s="23">
        <f>+D54+D55</f>
        <v>0</v>
      </c>
      <c r="E56" s="3"/>
      <c r="F56" s="3"/>
      <c r="G56" s="1"/>
      <c r="H56" s="1"/>
      <c r="I56" s="1"/>
      <c r="J56" s="1"/>
      <c r="K56" s="1"/>
      <c r="L56" s="1"/>
      <c r="M56" s="1"/>
      <c r="N56" s="1"/>
      <c r="O56" s="1"/>
      <c r="P56" s="1"/>
      <c r="Q56" s="1"/>
      <c r="R56" s="1"/>
      <c r="S56" s="1"/>
      <c r="T56" s="1"/>
      <c r="U56" s="1"/>
      <c r="V56" s="1"/>
    </row>
    <row r="57" spans="2:22" x14ac:dyDescent="0.3">
      <c r="B57" s="1"/>
      <c r="C57" s="1"/>
      <c r="D57" s="1"/>
      <c r="E57" s="1"/>
      <c r="F57" s="1"/>
      <c r="G57" s="1"/>
      <c r="H57" s="1"/>
      <c r="I57" s="1"/>
      <c r="J57" s="1"/>
      <c r="K57" s="1"/>
      <c r="L57" s="1"/>
      <c r="M57" s="1"/>
      <c r="N57" s="1"/>
      <c r="O57" s="1"/>
      <c r="P57" s="1"/>
      <c r="Q57" s="1"/>
      <c r="R57" s="1"/>
      <c r="S57" s="1"/>
      <c r="T57" s="1"/>
      <c r="U57" s="1"/>
      <c r="V57" s="1"/>
    </row>
    <row r="58" spans="2:22" x14ac:dyDescent="0.3">
      <c r="B58" s="1"/>
      <c r="C58" s="5" t="s">
        <v>42</v>
      </c>
      <c r="D58" s="7"/>
      <c r="E58" s="5" t="str">
        <f>IF(+E59&lt;&gt;"","Max F&amp;A","")</f>
        <v/>
      </c>
      <c r="F58" s="5"/>
      <c r="G58" s="1"/>
      <c r="H58" s="1"/>
      <c r="I58" s="1"/>
      <c r="J58" s="1"/>
      <c r="K58" s="1"/>
      <c r="L58">
        <f>IF(D58+D59&gt;=25000,25000,+D58+D59)</f>
        <v>0</v>
      </c>
      <c r="M58" s="1"/>
      <c r="N58" s="1"/>
      <c r="O58" s="1"/>
      <c r="P58" s="1"/>
      <c r="Q58" s="1"/>
      <c r="R58" s="1"/>
      <c r="S58" s="1"/>
      <c r="T58" s="1"/>
      <c r="U58" s="1"/>
      <c r="V58" s="1"/>
    </row>
    <row r="59" spans="2:22" x14ac:dyDescent="0.3">
      <c r="B59" s="1"/>
      <c r="C59" s="5" t="s">
        <v>43</v>
      </c>
      <c r="D59" s="7"/>
      <c r="E59" s="1" t="str">
        <f>IF(+D59&gt;0,(ROUND(+D58*(30/70),0)),"")</f>
        <v/>
      </c>
      <c r="F59" s="12" t="str">
        <f>IF(D59&gt;E59,"&lt;-Error - higher than TFFA amount","")</f>
        <v/>
      </c>
      <c r="G59" s="1"/>
      <c r="H59" s="1"/>
      <c r="I59" s="1"/>
      <c r="J59" s="1"/>
      <c r="K59" s="1"/>
      <c r="L59" s="1"/>
      <c r="M59" s="1"/>
      <c r="N59" s="1"/>
      <c r="O59" s="1"/>
      <c r="P59" s="1"/>
      <c r="Q59" s="1"/>
      <c r="R59" s="1"/>
      <c r="S59" s="1"/>
      <c r="T59" s="1"/>
      <c r="U59" s="1"/>
      <c r="V59" s="1"/>
    </row>
    <row r="60" spans="2:22" ht="15" thickBot="1" x14ac:dyDescent="0.35">
      <c r="C60" s="5" t="s">
        <v>44</v>
      </c>
      <c r="D60" s="23">
        <f>+D58+D59</f>
        <v>0</v>
      </c>
      <c r="E60" s="3"/>
      <c r="F60" s="3"/>
    </row>
    <row r="62" spans="2:22" x14ac:dyDescent="0.3">
      <c r="C62" s="5" t="s">
        <v>45</v>
      </c>
      <c r="D62" s="7"/>
      <c r="E62" s="5" t="str">
        <f>IF(+E63&lt;&gt;"","Max F&amp;A","")</f>
        <v/>
      </c>
      <c r="F62" s="5"/>
      <c r="L62">
        <f>IF(D62+D63&gt;=25000,25000,+D62+D63)</f>
        <v>0</v>
      </c>
    </row>
    <row r="63" spans="2:22" x14ac:dyDescent="0.3">
      <c r="C63" s="5" t="s">
        <v>46</v>
      </c>
      <c r="D63" s="7"/>
      <c r="E63" s="1" t="str">
        <f>IF(+D63&gt;0,(ROUND(+D62*(30/70),0)),"")</f>
        <v/>
      </c>
      <c r="F63" s="12" t="str">
        <f>IF(D63&gt;E63,"&lt;-Error - higher than TFFA amount","")</f>
        <v/>
      </c>
    </row>
    <row r="64" spans="2:22" ht="15" thickBot="1" x14ac:dyDescent="0.35">
      <c r="C64" s="5" t="s">
        <v>47</v>
      </c>
      <c r="D64" s="23">
        <f>+D62+D63</f>
        <v>0</v>
      </c>
      <c r="E64" s="3"/>
      <c r="F64" s="3"/>
    </row>
    <row r="66" spans="3:12" x14ac:dyDescent="0.3">
      <c r="C66" s="5" t="s">
        <v>48</v>
      </c>
      <c r="D66" s="7"/>
      <c r="E66" s="5" t="str">
        <f>IF(+E67&lt;&gt;"","Max F&amp;A","")</f>
        <v/>
      </c>
      <c r="F66" s="5"/>
      <c r="L66">
        <f>IF(D66+D67&gt;=25000,25000,+D66+D67)</f>
        <v>0</v>
      </c>
    </row>
    <row r="67" spans="3:12" x14ac:dyDescent="0.3">
      <c r="C67" s="5" t="s">
        <v>49</v>
      </c>
      <c r="D67" s="7"/>
      <c r="E67" s="1" t="str">
        <f>IF(+D67&gt;0,(ROUND(+D66*(30/70),0)),"")</f>
        <v/>
      </c>
      <c r="F67" s="12" t="str">
        <f>IF(D67&gt;E67,"&lt;-Error - higher than TFFA amount","")</f>
        <v/>
      </c>
    </row>
    <row r="68" spans="3:12" ht="15" thickBot="1" x14ac:dyDescent="0.35">
      <c r="C68" s="5" t="s">
        <v>50</v>
      </c>
      <c r="D68" s="23">
        <f>+D66+D67</f>
        <v>0</v>
      </c>
      <c r="E68" s="3"/>
      <c r="F68" s="3"/>
    </row>
    <row r="70" spans="3:12" x14ac:dyDescent="0.3">
      <c r="C70" s="5" t="s">
        <v>51</v>
      </c>
      <c r="D70" s="7"/>
      <c r="E70" s="5" t="str">
        <f>IF(+E71&lt;&gt;"","Max F&amp;A","")</f>
        <v/>
      </c>
      <c r="F70" s="5"/>
      <c r="L70">
        <f>IF(D70+D71&gt;=25000,25000,+D70+D71)</f>
        <v>0</v>
      </c>
    </row>
    <row r="71" spans="3:12" x14ac:dyDescent="0.3">
      <c r="C71" s="5" t="s">
        <v>52</v>
      </c>
      <c r="D71" s="7"/>
      <c r="E71" s="1" t="str">
        <f>IF(+D71&gt;0,(ROUND(+D70*(30/70),0)),"")</f>
        <v/>
      </c>
      <c r="F71" s="12" t="str">
        <f>IF(D71&gt;E71,"&lt;-Error - higher than TFFA amount","")</f>
        <v/>
      </c>
    </row>
    <row r="72" spans="3:12" ht="15" thickBot="1" x14ac:dyDescent="0.35">
      <c r="C72" s="5" t="s">
        <v>53</v>
      </c>
      <c r="D72" s="23">
        <f>+D70+D71</f>
        <v>0</v>
      </c>
      <c r="E72" s="3"/>
      <c r="F72" s="3"/>
    </row>
    <row r="74" spans="3:12" x14ac:dyDescent="0.3">
      <c r="C74" s="5" t="s">
        <v>54</v>
      </c>
      <c r="D74" s="7"/>
      <c r="E74" s="5" t="str">
        <f>IF(+E75&lt;&gt;"","Max F&amp;A","")</f>
        <v/>
      </c>
      <c r="F74" s="5"/>
      <c r="L74">
        <f>IF(D74+D75&gt;=25000,25000,+D74+D75)</f>
        <v>0</v>
      </c>
    </row>
    <row r="75" spans="3:12" x14ac:dyDescent="0.3">
      <c r="C75" s="5" t="s">
        <v>55</v>
      </c>
      <c r="D75" s="7"/>
      <c r="E75" s="1" t="str">
        <f>IF(+D75&gt;0,(ROUND(+D74*(30/70),0)),"")</f>
        <v/>
      </c>
      <c r="F75" s="12" t="str">
        <f>IF(D75&gt;E75,"&lt;-Error - higher than TFFA amount","")</f>
        <v/>
      </c>
    </row>
    <row r="76" spans="3:12" ht="15" thickBot="1" x14ac:dyDescent="0.35">
      <c r="C76" s="5" t="s">
        <v>56</v>
      </c>
      <c r="D76" s="23">
        <f>+D74+D75</f>
        <v>0</v>
      </c>
      <c r="E76" s="3"/>
      <c r="F76" s="3"/>
    </row>
    <row r="78" spans="3:12" x14ac:dyDescent="0.3">
      <c r="C78" s="5" t="s">
        <v>58</v>
      </c>
      <c r="D78" s="29">
        <f>+H38</f>
        <v>0</v>
      </c>
      <c r="L78">
        <f>SUM(L17:L76)</f>
        <v>0</v>
      </c>
    </row>
    <row r="79" spans="3:12" x14ac:dyDescent="0.3">
      <c r="C79" s="5" t="s">
        <v>60</v>
      </c>
      <c r="D79" s="29">
        <f>+H39</f>
        <v>0</v>
      </c>
    </row>
    <row r="80" spans="3:12" ht="15" thickBot="1" x14ac:dyDescent="0.35">
      <c r="C80" s="5" t="s">
        <v>59</v>
      </c>
      <c r="D80" s="23">
        <f>+D78+D79</f>
        <v>0</v>
      </c>
    </row>
  </sheetData>
  <sheetProtection algorithmName="SHA-512" hashValue="5ysfWTsIdpzIv07gcx/byBPqUhdt/et0HxYqWDJbqwXQ+5aKFz6gICokm6bhEi+LIRZvjUCz+WPYREcvH5COsQ==" saltValue="ej++ZKaWzD3U6LGiSPkRaA==" spinCount="100000" sheet="1" objects="1" scenarios="1"/>
  <mergeCells count="3">
    <mergeCell ref="D9:D10"/>
    <mergeCell ref="C9:C10"/>
    <mergeCell ref="F2:G3"/>
  </mergeCells>
  <printOptions horizontalCentered="1" verticalCentered="1"/>
  <pageMargins left="0.25" right="0.25" top="0.75" bottom="0.75" header="0.3" footer="0.3"/>
  <pageSetup scale="56" orientation="portrait" horizontalDpi="4294967295" verticalDpi="4294967295" r:id="rId1"/>
  <headerFooter>
    <oddFooter>&amp;LOriginal templated developed by Michigan State University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2F91-8024-4279-8D5B-1D5EDE900334}">
  <dimension ref="B1:L72"/>
  <sheetViews>
    <sheetView topLeftCell="A40" workbookViewId="0">
      <selection activeCell="G26" sqref="G26"/>
    </sheetView>
  </sheetViews>
  <sheetFormatPr defaultRowHeight="14.4" x14ac:dyDescent="0.3"/>
  <cols>
    <col min="1" max="1" width="26" customWidth="1"/>
    <col min="4" max="4" width="16.33203125" customWidth="1"/>
    <col min="5" max="5" width="10.6640625" customWidth="1"/>
    <col min="6" max="6" width="11.6640625" customWidth="1"/>
  </cols>
  <sheetData>
    <row r="1" spans="3:12" ht="19.95" customHeight="1" thickBot="1" x14ac:dyDescent="0.35">
      <c r="C1" s="25" t="s">
        <v>25</v>
      </c>
      <c r="D1" s="35" t="s">
        <v>0</v>
      </c>
      <c r="E1" s="26" t="s">
        <v>25</v>
      </c>
    </row>
    <row r="2" spans="3:12" ht="19.95" customHeight="1" x14ac:dyDescent="0.3">
      <c r="C2" s="20" t="s">
        <v>234</v>
      </c>
      <c r="D2" s="294">
        <v>0</v>
      </c>
      <c r="E2" s="12" t="str">
        <f>IF(D2-(+H40)&lt;0,"&lt;-Error - Total Subaward Amts &gt; Total Requested Amt: " &amp; +D2-(+H40),"")</f>
        <v/>
      </c>
      <c r="F2" s="353" t="s">
        <v>26</v>
      </c>
      <c r="G2" s="354"/>
      <c r="H2" s="15"/>
      <c r="I2" s="9"/>
      <c r="J2" s="9"/>
      <c r="K2" s="9"/>
    </row>
    <row r="3" spans="3:12" ht="19.95" customHeight="1" thickBot="1" x14ac:dyDescent="0.35">
      <c r="C3" s="20" t="s">
        <v>235</v>
      </c>
      <c r="D3" s="294">
        <v>0</v>
      </c>
      <c r="E3" s="12" t="str">
        <f>IF(D2-H40-D3&lt;0,"&lt;-Error - Total Exclusion Amt &gt; Total Requested Amt: " &amp; +D2-H40-D3,"")</f>
        <v/>
      </c>
      <c r="F3" s="355"/>
      <c r="G3" s="356"/>
      <c r="H3" s="9"/>
      <c r="I3" s="9"/>
      <c r="J3" s="9"/>
      <c r="K3" s="9"/>
    </row>
    <row r="4" spans="3:12" ht="19.95" customHeight="1" x14ac:dyDescent="0.3">
      <c r="C4" s="20"/>
      <c r="D4" s="1"/>
      <c r="E4" s="9"/>
      <c r="H4" s="9"/>
      <c r="I4" s="9"/>
      <c r="J4" s="9"/>
      <c r="K4" s="9"/>
    </row>
    <row r="5" spans="3:12" ht="19.95" customHeight="1" x14ac:dyDescent="0.3">
      <c r="C5" s="5" t="s">
        <v>237</v>
      </c>
      <c r="D5" s="1">
        <f>+D2+L18+L22+L26+L30+L34+L38+L42+L46+L50+L54+L58+L62+L66+L70+L74-D3-D80</f>
        <v>0</v>
      </c>
    </row>
    <row r="6" spans="3:12" ht="19.95" customHeight="1" x14ac:dyDescent="0.3">
      <c r="C6" s="5"/>
      <c r="D6" s="1"/>
    </row>
    <row r="7" spans="3:12" ht="19.95" customHeight="1" x14ac:dyDescent="0.3">
      <c r="C7" s="5" t="s">
        <v>238</v>
      </c>
      <c r="D7" s="8">
        <v>0.56499999999999995</v>
      </c>
      <c r="H7" s="1">
        <f>ROUND(+D5*D7,0)</f>
        <v>0</v>
      </c>
      <c r="I7" s="9" t="s">
        <v>239</v>
      </c>
    </row>
    <row r="8" spans="3:12" ht="19.95" customHeight="1" thickBot="1" x14ac:dyDescent="0.35">
      <c r="C8" s="5"/>
      <c r="D8" s="5"/>
      <c r="H8" s="1"/>
      <c r="I8" s="9"/>
    </row>
    <row r="9" spans="3:12" ht="33" customHeight="1" x14ac:dyDescent="0.3">
      <c r="C9" s="351" t="str">
        <f>IF(+D9="Use USDA TFFA Rate Type &amp; Rate -&gt;","Total Federal Funds Awarded (TFFA Rate " &amp; ROUND(+E10/(+E10+D2),4) &amp; ")","")</f>
        <v/>
      </c>
      <c r="D9" s="349" t="str">
        <f>IF(+D14&gt;0,+H16 &amp; " &amp; Rate -&gt;","")</f>
        <v/>
      </c>
      <c r="E9" s="246" t="s">
        <v>236</v>
      </c>
      <c r="F9" s="247" t="str">
        <f>"Final Rate"</f>
        <v>Final Rate</v>
      </c>
      <c r="H9" s="1"/>
      <c r="I9" s="9"/>
    </row>
    <row r="10" spans="3:12" ht="19.95" customHeight="1" thickBot="1" x14ac:dyDescent="0.35">
      <c r="C10" s="352"/>
      <c r="D10" s="350"/>
      <c r="E10" s="34">
        <f>+D16</f>
        <v>0</v>
      </c>
      <c r="F10" s="27" t="e">
        <f>IF(+D9="Use USDA TFFA Rate Type &amp; Rate -&gt;",ROUND(+E10/+D2,4),ROUND(+D13,4))</f>
        <v>#VALUE!</v>
      </c>
      <c r="G10" s="22"/>
      <c r="H10" s="17">
        <f>+H7-D16</f>
        <v>0</v>
      </c>
      <c r="I10" s="16" t="s">
        <v>24</v>
      </c>
    </row>
    <row r="11" spans="3:12" ht="19.95" customHeight="1" x14ac:dyDescent="0.3">
      <c r="C11" s="1"/>
      <c r="D11" s="1"/>
      <c r="E11" s="1"/>
      <c r="F11" s="1"/>
      <c r="G11" s="1"/>
      <c r="H11" s="1"/>
      <c r="I11" s="16"/>
    </row>
    <row r="12" spans="3:12" ht="19.95" customHeight="1" x14ac:dyDescent="0.3">
      <c r="C12" s="1"/>
      <c r="D12" s="1"/>
      <c r="E12" s="1"/>
      <c r="F12" s="1"/>
      <c r="G12" s="1"/>
      <c r="H12" s="1"/>
      <c r="I12" s="16"/>
    </row>
    <row r="13" spans="3:12" ht="19.95" customHeight="1" x14ac:dyDescent="0.3">
      <c r="C13" s="5" t="str">
        <f>+I26</f>
        <v>Adjusted MSU Effective MTDC Rate</v>
      </c>
      <c r="D13" s="2" t="str">
        <f>IF(+H21&gt;0,ROUND(+H26,4),"")</f>
        <v/>
      </c>
      <c r="E13" s="12" t="str">
        <f>IF(D13&lt;=0,"&lt;-Error - Rate can not be negative","")</f>
        <v/>
      </c>
      <c r="F13" s="5"/>
      <c r="G13" s="5"/>
      <c r="H13" s="18">
        <f>+D2*(0.42857)</f>
        <v>0</v>
      </c>
      <c r="I13" s="19" t="s">
        <v>13</v>
      </c>
      <c r="J13" s="19"/>
      <c r="K13" s="19"/>
      <c r="L13" s="2" t="e">
        <f>+H10/H13</f>
        <v>#DIV/0!</v>
      </c>
    </row>
    <row r="14" spans="3:12" ht="19.95" customHeight="1" x14ac:dyDescent="0.3">
      <c r="C14" s="20" t="str">
        <f>+I28</f>
        <v>Total Claimed F&amp;A</v>
      </c>
      <c r="D14" s="24">
        <f>+H28</f>
        <v>0</v>
      </c>
      <c r="E14" s="12" t="str">
        <f>IF(D14&lt;0,"&lt;-Error - Amount can not be negative","")</f>
        <v/>
      </c>
      <c r="G14" s="30"/>
      <c r="H14" s="10">
        <f>+D19+D23+D27+D31+D35+D39+D43+D47+D51+D55+D59+D63+D67+D71+D75</f>
        <v>0</v>
      </c>
      <c r="I14" t="s">
        <v>12</v>
      </c>
    </row>
    <row r="15" spans="3:12" ht="19.95" customHeight="1" x14ac:dyDescent="0.3">
      <c r="C15" s="5" t="str">
        <f>+I29</f>
        <v>Subaward IDC Amount</v>
      </c>
      <c r="D15" s="14">
        <f>+H29</f>
        <v>0</v>
      </c>
      <c r="E15" s="12" t="str">
        <f>IF(D15&lt;0,"&lt;-Error - Amount can not be negative","")</f>
        <v/>
      </c>
      <c r="G15" s="30"/>
      <c r="H15" s="10">
        <f>IF(+H13-H7&gt;0,+H13-H7,0)</f>
        <v>0</v>
      </c>
      <c r="I15" t="s">
        <v>240</v>
      </c>
    </row>
    <row r="16" spans="3:12" ht="19.95" customHeight="1" x14ac:dyDescent="0.3">
      <c r="C16" s="5" t="str">
        <f>+I30</f>
        <v>MSU IDC Amount</v>
      </c>
      <c r="D16" s="14">
        <f>+H30</f>
        <v>0</v>
      </c>
      <c r="E16" s="12" t="str">
        <f>IF(D16&lt;0,"&lt;-Error - Amount can not be negative","")</f>
        <v/>
      </c>
      <c r="F16" s="11"/>
      <c r="G16" s="30"/>
      <c r="H16" s="28" t="str">
        <f>IF(H7&gt;H13, "Use USDA TFFA Rate Type","Use MTDC Rate Type")</f>
        <v>Use MTDC Rate Type</v>
      </c>
    </row>
    <row r="17" spans="2:12" ht="19.95" customHeight="1" x14ac:dyDescent="0.3">
      <c r="C17" s="5"/>
      <c r="D17" s="6"/>
      <c r="G17" s="30"/>
      <c r="L17" t="s">
        <v>11</v>
      </c>
    </row>
    <row r="18" spans="2:12" ht="19.95" customHeight="1" x14ac:dyDescent="0.3">
      <c r="C18" s="5" t="s">
        <v>1</v>
      </c>
      <c r="D18" s="7"/>
      <c r="E18" s="5" t="str">
        <f>IF(+E19&lt;&gt;"","Max F&amp;A","")</f>
        <v/>
      </c>
      <c r="F18" s="5"/>
      <c r="G18" s="5"/>
      <c r="L18">
        <f>IF(D18+D19&gt;=25000,25000,+D18+D19)</f>
        <v>0</v>
      </c>
    </row>
    <row r="19" spans="2:12" ht="19.95" customHeight="1" x14ac:dyDescent="0.3">
      <c r="C19" s="5" t="s">
        <v>2</v>
      </c>
      <c r="D19" s="7"/>
      <c r="E19" s="1" t="str">
        <f>IF(+D19&gt;0,(ROUND(+D18*(30/70),0)),"")</f>
        <v/>
      </c>
      <c r="F19" s="12" t="str">
        <f>IF(D19&gt;E19,"&lt;-Error - higher than TFFA amount","")</f>
        <v/>
      </c>
      <c r="H19" s="1">
        <f>IF(H16 = "Use USDA TFFA Rate Type",+H13,+H7)</f>
        <v>0</v>
      </c>
      <c r="I19" t="s">
        <v>21</v>
      </c>
    </row>
    <row r="20" spans="2:12" ht="19.95" customHeight="1" thickBot="1" x14ac:dyDescent="0.35">
      <c r="C20" s="5" t="s">
        <v>14</v>
      </c>
      <c r="D20" s="23">
        <f>+D18+D19</f>
        <v>0</v>
      </c>
      <c r="H20" s="6" t="str">
        <f>IF(H7+H14&lt;H13,"Yes", "No")</f>
        <v>No</v>
      </c>
      <c r="I20" t="s">
        <v>241</v>
      </c>
    </row>
    <row r="21" spans="2:12" ht="19.95" customHeight="1" x14ac:dyDescent="0.3">
      <c r="C21" s="5"/>
      <c r="D21" s="6"/>
      <c r="H21" s="10">
        <f>IF(+H20="Yes",+H19,+H19-H14)</f>
        <v>0</v>
      </c>
      <c r="I21" t="s">
        <v>242</v>
      </c>
    </row>
    <row r="22" spans="2:12" ht="19.95" customHeight="1" x14ac:dyDescent="0.3">
      <c r="C22" s="5" t="s">
        <v>3</v>
      </c>
      <c r="D22" s="7"/>
      <c r="E22" s="5" t="str">
        <f>IF(+E23&lt;&gt;"","Max F&amp;A","")</f>
        <v/>
      </c>
      <c r="F22" s="5"/>
      <c r="G22" s="5"/>
      <c r="H22" s="2" t="e">
        <f>+H21/D5</f>
        <v>#DIV/0!</v>
      </c>
      <c r="I22" t="s">
        <v>243</v>
      </c>
      <c r="L22">
        <f>IF(D22+D23&gt;=25000,25000,+D22+D23)</f>
        <v>0</v>
      </c>
    </row>
    <row r="23" spans="2:12" ht="19.95" customHeight="1" x14ac:dyDescent="0.3">
      <c r="C23" s="5" t="s">
        <v>4</v>
      </c>
      <c r="D23" s="7"/>
      <c r="E23" s="1" t="str">
        <f>IF(+D23&gt;0,(ROUND(+D22*(30/70),0)),"")</f>
        <v/>
      </c>
      <c r="F23" s="12" t="str">
        <f>IF(D23&gt;E23,"&lt;-Error - higher than TFFA amount","")</f>
        <v/>
      </c>
      <c r="H23" s="10">
        <f>IF(+H20="Yes",+H14,+H19-H21)</f>
        <v>0</v>
      </c>
      <c r="I23" t="s">
        <v>12</v>
      </c>
    </row>
    <row r="24" spans="2:12" ht="19.95" customHeight="1" thickBot="1" x14ac:dyDescent="0.35">
      <c r="C24" s="5" t="s">
        <v>15</v>
      </c>
      <c r="D24" s="23">
        <f>+D22+D23</f>
        <v>0</v>
      </c>
      <c r="H24" s="10">
        <f>IF(H15&lt;H14,+H15,0)</f>
        <v>0</v>
      </c>
      <c r="I24" t="e">
        <f>IF(+H22&lt;D7,"Available OSU MTDC Bonus Amount up to Cap","No Bonus")</f>
        <v>#DIV/0!</v>
      </c>
    </row>
    <row r="25" spans="2:12" ht="19.95" customHeight="1" x14ac:dyDescent="0.3">
      <c r="C25" s="5"/>
      <c r="D25" s="6"/>
      <c r="H25" s="13">
        <f>+H21+H24</f>
        <v>0</v>
      </c>
      <c r="I25" t="s">
        <v>19</v>
      </c>
    </row>
    <row r="26" spans="2:12" ht="19.95" customHeight="1" x14ac:dyDescent="0.3">
      <c r="C26" s="5" t="s">
        <v>5</v>
      </c>
      <c r="D26" s="7"/>
      <c r="E26" s="5" t="str">
        <f>IF(+E27&lt;&gt;"","Max F&amp;A","")</f>
        <v/>
      </c>
      <c r="F26" s="5"/>
      <c r="G26" s="5"/>
      <c r="H26" s="2" t="e">
        <f>+H25/D5</f>
        <v>#DIV/0!</v>
      </c>
      <c r="I26" t="s">
        <v>244</v>
      </c>
      <c r="L26">
        <f>IF(D26+D27&gt;=25000,25000,+D26+D27)</f>
        <v>0</v>
      </c>
    </row>
    <row r="27" spans="2:12" ht="19.95" customHeight="1" x14ac:dyDescent="0.3">
      <c r="C27" s="5" t="s">
        <v>6</v>
      </c>
      <c r="D27" s="7"/>
      <c r="E27" s="1" t="str">
        <f>IF(+D27&gt;0,(ROUND(+D26*(30/70),0)),"")</f>
        <v/>
      </c>
      <c r="F27" s="12" t="str">
        <f>IF(D27&gt;E27,"&lt;-Error - higher than TFFA amount","")</f>
        <v/>
      </c>
    </row>
    <row r="28" spans="2:12" ht="19.95" customHeight="1" thickBot="1" x14ac:dyDescent="0.35">
      <c r="C28" s="5" t="s">
        <v>16</v>
      </c>
      <c r="D28" s="23">
        <f>+D26+D27</f>
        <v>0</v>
      </c>
      <c r="H28" s="10">
        <f>+H23+H25</f>
        <v>0</v>
      </c>
      <c r="I28" t="s">
        <v>20</v>
      </c>
    </row>
    <row r="29" spans="2:12" ht="19.95" customHeight="1" x14ac:dyDescent="0.3">
      <c r="C29" s="5"/>
      <c r="D29" s="6"/>
      <c r="H29" s="10">
        <f>+H23</f>
        <v>0</v>
      </c>
      <c r="I29" t="str">
        <f>+I23</f>
        <v>Subaward IDC Amount</v>
      </c>
    </row>
    <row r="30" spans="2:12" ht="19.95" customHeight="1" x14ac:dyDescent="0.3">
      <c r="C30" s="5" t="s">
        <v>7</v>
      </c>
      <c r="D30" s="7"/>
      <c r="E30" s="5" t="str">
        <f>IF(+E31&lt;&gt;"","Max F&amp;A","")</f>
        <v/>
      </c>
      <c r="F30" s="5"/>
      <c r="G30" s="5"/>
      <c r="H30" s="10">
        <f>+H28-H29</f>
        <v>0</v>
      </c>
      <c r="I30" t="s">
        <v>245</v>
      </c>
      <c r="L30">
        <f>IF(D30+D31&gt;=25000,25000,+D30+D31)</f>
        <v>0</v>
      </c>
    </row>
    <row r="31" spans="2:12" ht="19.95" customHeight="1" x14ac:dyDescent="0.3">
      <c r="C31" s="5" t="s">
        <v>8</v>
      </c>
      <c r="D31" s="7"/>
      <c r="E31" s="1" t="str">
        <f>IF(+D31&gt;0,(ROUND(+D30*(30/70),0)),"")</f>
        <v/>
      </c>
      <c r="F31" s="12" t="str">
        <f>IF(D31&gt;E31,"&lt;-Error - higher than TFFA amount","")</f>
        <v/>
      </c>
    </row>
    <row r="32" spans="2:12" ht="19.95" customHeight="1" thickBot="1" x14ac:dyDescent="0.35">
      <c r="B32" s="1"/>
      <c r="C32" s="5" t="s">
        <v>17</v>
      </c>
      <c r="D32" s="23">
        <f>+D30+D31</f>
        <v>0</v>
      </c>
    </row>
    <row r="33" spans="2:12" ht="19.95" customHeight="1" x14ac:dyDescent="0.3">
      <c r="B33" s="1"/>
      <c r="C33" s="5"/>
      <c r="D33" s="6"/>
      <c r="E33" s="3"/>
      <c r="F33" s="3"/>
      <c r="G33" s="3"/>
      <c r="H33" s="21" t="e">
        <f>+H23/D14</f>
        <v>#DIV/0!</v>
      </c>
      <c r="I33" s="12" t="s">
        <v>22</v>
      </c>
      <c r="J33" s="3"/>
      <c r="K33" s="3"/>
    </row>
    <row r="34" spans="2:12" ht="19.95" customHeight="1" x14ac:dyDescent="0.3">
      <c r="B34" s="1"/>
      <c r="C34" s="5" t="s">
        <v>9</v>
      </c>
      <c r="D34" s="7"/>
      <c r="E34" s="5" t="str">
        <f>IF(+E35&lt;&gt;"","Max F&amp;A","")</f>
        <v/>
      </c>
      <c r="F34" s="5"/>
      <c r="G34" s="5"/>
      <c r="H34" s="21" t="e">
        <f>(+D20+D24+D28+D32+D36)/D2</f>
        <v>#DIV/0!</v>
      </c>
      <c r="I34" s="12" t="s">
        <v>23</v>
      </c>
      <c r="J34" s="3"/>
      <c r="K34" s="3"/>
      <c r="L34">
        <f>IF(D34+D35&gt;=25000,25000,+D34+D35)</f>
        <v>0</v>
      </c>
    </row>
    <row r="35" spans="2:12" ht="19.95" customHeight="1" x14ac:dyDescent="0.3">
      <c r="B35" s="1"/>
      <c r="C35" s="5" t="s">
        <v>10</v>
      </c>
      <c r="D35" s="7"/>
      <c r="E35" s="1" t="str">
        <f>IF(+D35&gt;0,(ROUND(+D34*(30/70),0)),"")</f>
        <v/>
      </c>
      <c r="F35" s="12" t="str">
        <f>IF(D35&gt;E35,"&lt;-Error - higher than TFFA amount","")</f>
        <v/>
      </c>
      <c r="J35" s="3"/>
      <c r="K35" s="3"/>
    </row>
    <row r="36" spans="2:12" ht="19.95" customHeight="1" thickBot="1" x14ac:dyDescent="0.35">
      <c r="B36" s="1"/>
      <c r="C36" s="5" t="s">
        <v>18</v>
      </c>
      <c r="D36" s="23">
        <f>+D34+D35</f>
        <v>0</v>
      </c>
      <c r="E36" s="3"/>
      <c r="F36" s="3"/>
      <c r="G36" s="3"/>
      <c r="J36" s="3"/>
      <c r="K36" s="3"/>
    </row>
    <row r="37" spans="2:12" ht="19.95" customHeight="1" x14ac:dyDescent="0.3">
      <c r="B37" s="1"/>
      <c r="C37" s="5"/>
      <c r="D37" s="5"/>
      <c r="E37" s="3"/>
      <c r="F37" s="3"/>
      <c r="G37" s="3"/>
      <c r="H37" s="10"/>
      <c r="J37" s="3"/>
      <c r="K37" s="3"/>
    </row>
    <row r="38" spans="2:12" ht="19.95" customHeight="1" x14ac:dyDescent="0.3">
      <c r="B38" s="1"/>
      <c r="C38" s="5" t="s">
        <v>27</v>
      </c>
      <c r="D38" s="7"/>
      <c r="E38" s="5" t="str">
        <f>IF(+E39&lt;&gt;"","Max F&amp;A","")</f>
        <v/>
      </c>
      <c r="F38" s="5"/>
      <c r="G38" s="3"/>
      <c r="H38" s="10">
        <f>+D18+D22+D26+D30+D34+D38+D42+D46+D50+D54+D58+D62+D66+D70+D74</f>
        <v>0</v>
      </c>
      <c r="I38" t="s">
        <v>58</v>
      </c>
      <c r="J38" s="3"/>
      <c r="K38" s="3"/>
      <c r="L38">
        <f>IF(D38+D39&gt;=25000,25000,+D38+D39)</f>
        <v>0</v>
      </c>
    </row>
    <row r="39" spans="2:12" ht="19.95" customHeight="1" x14ac:dyDescent="0.3">
      <c r="B39" s="1"/>
      <c r="C39" s="5" t="s">
        <v>28</v>
      </c>
      <c r="D39" s="7"/>
      <c r="E39" s="1" t="str">
        <f>IF(+D39&gt;0,(ROUND(+D38*(30/70),0)),"")</f>
        <v/>
      </c>
      <c r="F39" s="12" t="str">
        <f>IF(D39&gt;E39,"&lt;-Error - higher than TFFA amount","")</f>
        <v/>
      </c>
      <c r="G39" s="3"/>
      <c r="H39" s="10">
        <f>+D19+D23+D27+D31+D35+D39+D43+D47+D51+D55+D59+D63+D67+D71+D75</f>
        <v>0</v>
      </c>
      <c r="I39" t="s">
        <v>57</v>
      </c>
      <c r="J39" s="3"/>
      <c r="K39" s="3"/>
    </row>
    <row r="40" spans="2:12" ht="19.95" customHeight="1" thickBot="1" x14ac:dyDescent="0.35">
      <c r="B40" s="1"/>
      <c r="C40" s="5" t="s">
        <v>29</v>
      </c>
      <c r="D40" s="23">
        <f>+D38+D39</f>
        <v>0</v>
      </c>
      <c r="E40" s="3"/>
      <c r="F40" s="3"/>
      <c r="G40" s="3"/>
      <c r="H40" s="10">
        <f>SUM(H38:H39)</f>
        <v>0</v>
      </c>
      <c r="I40" t="s">
        <v>59</v>
      </c>
      <c r="J40" s="3"/>
      <c r="K40" s="3"/>
    </row>
    <row r="41" spans="2:12" ht="19.95" customHeight="1" x14ac:dyDescent="0.3">
      <c r="B41" s="1"/>
      <c r="C41" s="5"/>
      <c r="D41" s="5"/>
      <c r="E41" s="3"/>
      <c r="F41" s="3"/>
      <c r="G41" s="3"/>
      <c r="J41" s="3"/>
      <c r="K41" s="3"/>
    </row>
    <row r="42" spans="2:12" ht="19.95" customHeight="1" x14ac:dyDescent="0.3">
      <c r="B42" s="1"/>
      <c r="C42" s="5" t="s">
        <v>30</v>
      </c>
      <c r="D42" s="7"/>
      <c r="E42" s="5" t="str">
        <f>IF(+E43&lt;&gt;"","Max F&amp;A","")</f>
        <v/>
      </c>
      <c r="F42" s="5"/>
      <c r="G42" s="3"/>
      <c r="J42" s="3"/>
      <c r="K42" s="3"/>
      <c r="L42">
        <f>IF(D42+D43&gt;=25000,25000,+D42+D43)</f>
        <v>0</v>
      </c>
    </row>
    <row r="43" spans="2:12" ht="19.95" customHeight="1" x14ac:dyDescent="0.3">
      <c r="B43" s="1"/>
      <c r="C43" s="5" t="s">
        <v>31</v>
      </c>
      <c r="D43" s="7"/>
      <c r="E43" s="1" t="str">
        <f>IF(+D43&gt;0,(ROUND(+D42*(30/70),0)),"")</f>
        <v/>
      </c>
      <c r="F43" s="12" t="str">
        <f>IF(D43&gt;E43,"&lt;-Error - higher than TFFA amount","")</f>
        <v/>
      </c>
      <c r="G43" s="3"/>
      <c r="H43" s="10">
        <f>+D2</f>
        <v>0</v>
      </c>
      <c r="J43" s="3"/>
      <c r="K43" s="3"/>
    </row>
    <row r="44" spans="2:12" ht="19.95" customHeight="1" thickBot="1" x14ac:dyDescent="0.35">
      <c r="C44" s="5" t="s">
        <v>32</v>
      </c>
      <c r="D44" s="23">
        <f>+D42+D43</f>
        <v>0</v>
      </c>
      <c r="E44" s="3"/>
      <c r="F44" s="3"/>
      <c r="H44" s="1">
        <f>-D3</f>
        <v>0</v>
      </c>
      <c r="I44" s="1"/>
      <c r="J44" s="1"/>
      <c r="K44" s="1"/>
      <c r="L44" s="1"/>
    </row>
    <row r="45" spans="2:12" ht="19.95" customHeight="1" x14ac:dyDescent="0.3">
      <c r="B45" s="1"/>
      <c r="C45" s="1"/>
      <c r="D45" s="1"/>
      <c r="E45" s="1"/>
      <c r="F45" s="1"/>
      <c r="G45" s="1"/>
      <c r="H45" s="1">
        <f>-D80</f>
        <v>0</v>
      </c>
      <c r="I45" s="1"/>
      <c r="J45" s="1"/>
      <c r="K45" s="1"/>
      <c r="L45" s="1"/>
    </row>
    <row r="46" spans="2:12" ht="19.95" customHeight="1" x14ac:dyDescent="0.3">
      <c r="B46" s="1"/>
      <c r="C46" s="5" t="s">
        <v>33</v>
      </c>
      <c r="D46" s="7"/>
      <c r="E46" s="5" t="str">
        <f>IF(+E47&lt;&gt;"","Max F&amp;A","")</f>
        <v/>
      </c>
      <c r="F46" s="5"/>
      <c r="G46" s="1"/>
      <c r="H46" s="1">
        <f>+L78</f>
        <v>0</v>
      </c>
      <c r="I46" s="1"/>
      <c r="J46" s="1"/>
      <c r="K46" s="1"/>
      <c r="L46">
        <f>IF(D46+D47&gt;=25000,25000,+D46+D47)</f>
        <v>0</v>
      </c>
    </row>
    <row r="47" spans="2:12" ht="19.95" customHeight="1" thickBot="1" x14ac:dyDescent="0.35">
      <c r="B47" s="1"/>
      <c r="C47" s="5" t="s">
        <v>34</v>
      </c>
      <c r="D47" s="7"/>
      <c r="E47" s="1" t="str">
        <f>IF(+D47&gt;0,(ROUND(+D46*(30/70),0)),"")</f>
        <v/>
      </c>
      <c r="F47" s="12" t="str">
        <f>IF(D47&gt;E47,"&lt;-Error - higher than TFFA amount","")</f>
        <v/>
      </c>
      <c r="G47" s="1"/>
      <c r="H47" s="32">
        <f>SUM(H43:H46)</f>
        <v>0</v>
      </c>
      <c r="I47" s="1"/>
      <c r="J47" s="1"/>
      <c r="K47" s="1"/>
      <c r="L47" s="1"/>
    </row>
    <row r="48" spans="2:12" ht="19.95" customHeight="1" thickTop="1" thickBot="1" x14ac:dyDescent="0.35">
      <c r="B48" s="1"/>
      <c r="C48" s="5" t="s">
        <v>35</v>
      </c>
      <c r="D48" s="23">
        <f>+D46+D47</f>
        <v>0</v>
      </c>
      <c r="E48" s="3"/>
      <c r="F48" s="3"/>
      <c r="G48" s="1"/>
      <c r="H48" s="31" t="e">
        <f>+F10</f>
        <v>#VALUE!</v>
      </c>
      <c r="I48" s="1"/>
      <c r="J48" s="1"/>
      <c r="K48" s="1"/>
      <c r="L48" s="1"/>
    </row>
    <row r="49" spans="2:12" ht="19.95" customHeight="1" thickBot="1" x14ac:dyDescent="0.35">
      <c r="B49" s="1"/>
      <c r="C49" s="1"/>
      <c r="D49" s="1"/>
      <c r="E49" s="1"/>
      <c r="F49" s="1"/>
      <c r="G49" s="1"/>
      <c r="H49" s="33" t="e">
        <f>+H47*H48</f>
        <v>#VALUE!</v>
      </c>
      <c r="I49" s="1"/>
      <c r="J49" s="1"/>
      <c r="K49" s="1"/>
      <c r="L49" s="1"/>
    </row>
    <row r="50" spans="2:12" ht="19.95" customHeight="1" x14ac:dyDescent="0.3">
      <c r="B50" s="1"/>
      <c r="C50" s="5" t="s">
        <v>36</v>
      </c>
      <c r="D50" s="7"/>
      <c r="E50" s="5" t="str">
        <f>IF(+E51&lt;&gt;"","Max F&amp;A","")</f>
        <v/>
      </c>
      <c r="F50" s="5"/>
      <c r="G50" s="1"/>
      <c r="H50" s="1"/>
      <c r="I50" s="1"/>
      <c r="J50" s="1"/>
      <c r="K50" s="1"/>
      <c r="L50">
        <f>IF(D50+D51&gt;=25000,25000,+D50+D51)</f>
        <v>0</v>
      </c>
    </row>
    <row r="51" spans="2:12" ht="19.95" customHeight="1" x14ac:dyDescent="0.3">
      <c r="B51" s="1"/>
      <c r="C51" s="5" t="s">
        <v>37</v>
      </c>
      <c r="D51" s="7"/>
      <c r="E51" s="1" t="str">
        <f>IF(+D51&gt;0,(ROUND(+D50*(30/70),0)),"")</f>
        <v/>
      </c>
      <c r="F51" s="12" t="str">
        <f>IF(D51&gt;E51,"&lt;-Error - higher than TFFA amount","")</f>
        <v/>
      </c>
      <c r="G51" s="1"/>
      <c r="H51" s="1"/>
      <c r="I51" s="1"/>
      <c r="J51" s="1"/>
      <c r="K51" s="1"/>
      <c r="L51" s="1"/>
    </row>
    <row r="52" spans="2:12" ht="19.95" customHeight="1" thickBot="1" x14ac:dyDescent="0.35">
      <c r="B52" s="1"/>
      <c r="C52" s="5" t="s">
        <v>38</v>
      </c>
      <c r="D52" s="23">
        <f>+D50+D51</f>
        <v>0</v>
      </c>
      <c r="E52" s="3"/>
      <c r="F52" s="3"/>
      <c r="G52" s="1"/>
      <c r="H52" s="1"/>
      <c r="I52" s="1"/>
      <c r="J52" s="1"/>
      <c r="K52" s="1"/>
      <c r="L52" s="1"/>
    </row>
    <row r="53" spans="2:12" ht="19.95" customHeight="1" x14ac:dyDescent="0.3">
      <c r="B53" s="1"/>
      <c r="C53" s="1"/>
      <c r="D53" s="1"/>
      <c r="E53" s="1"/>
      <c r="F53" s="1"/>
      <c r="G53" s="1"/>
      <c r="H53" s="1"/>
      <c r="I53" s="1"/>
      <c r="J53" s="1"/>
      <c r="K53" s="1"/>
      <c r="L53" s="1"/>
    </row>
    <row r="54" spans="2:12" ht="19.95" customHeight="1" x14ac:dyDescent="0.3">
      <c r="B54" s="1"/>
      <c r="C54" s="5" t="s">
        <v>39</v>
      </c>
      <c r="D54" s="7"/>
      <c r="E54" s="5" t="str">
        <f>IF(+E55&lt;&gt;"","Max F&amp;A","")</f>
        <v/>
      </c>
      <c r="F54" s="5"/>
      <c r="G54" s="1"/>
      <c r="H54" s="1"/>
      <c r="I54" s="1"/>
      <c r="J54" s="1"/>
      <c r="K54" s="1"/>
      <c r="L54">
        <f>IF(D54+D55&gt;=25000,25000,+D54+D55)</f>
        <v>0</v>
      </c>
    </row>
    <row r="55" spans="2:12" ht="19.95" customHeight="1" x14ac:dyDescent="0.3">
      <c r="B55" s="1"/>
      <c r="C55" s="5" t="s">
        <v>40</v>
      </c>
      <c r="D55" s="7"/>
      <c r="E55" s="1" t="str">
        <f>IF(+D55&gt;0,(ROUND(+D54*(30/70),0)),"")</f>
        <v/>
      </c>
      <c r="F55" s="12" t="str">
        <f>IF(D55&gt;E55,"&lt;-Error - higher than TFFA amount","")</f>
        <v/>
      </c>
      <c r="G55" s="1"/>
      <c r="H55" s="1"/>
      <c r="I55" s="1"/>
      <c r="J55" s="1"/>
      <c r="K55" s="1"/>
      <c r="L55" s="1"/>
    </row>
    <row r="56" spans="2:12" ht="19.95" customHeight="1" thickBot="1" x14ac:dyDescent="0.35">
      <c r="B56" s="1"/>
      <c r="C56" s="5" t="s">
        <v>41</v>
      </c>
      <c r="D56" s="23">
        <f>+D54+D55</f>
        <v>0</v>
      </c>
      <c r="E56" s="3"/>
      <c r="F56" s="3"/>
      <c r="G56" s="1"/>
      <c r="H56" s="1"/>
      <c r="I56" s="1"/>
      <c r="J56" s="1"/>
      <c r="K56" s="1"/>
      <c r="L56" s="1"/>
    </row>
    <row r="57" spans="2:12" ht="19.95" customHeight="1" x14ac:dyDescent="0.3">
      <c r="B57" s="1"/>
      <c r="C57" s="1"/>
      <c r="D57" s="1"/>
      <c r="E57" s="1"/>
      <c r="F57" s="1"/>
      <c r="G57" s="1"/>
      <c r="H57" s="1"/>
      <c r="I57" s="1"/>
      <c r="J57" s="1"/>
      <c r="K57" s="1"/>
      <c r="L57" s="1"/>
    </row>
    <row r="58" spans="2:12" ht="19.95" customHeight="1" x14ac:dyDescent="0.3">
      <c r="B58" s="1"/>
      <c r="C58" s="5" t="s">
        <v>42</v>
      </c>
      <c r="D58" s="7"/>
      <c r="E58" s="5" t="str">
        <f>IF(+E59&lt;&gt;"","Max F&amp;A","")</f>
        <v/>
      </c>
      <c r="F58" s="5"/>
      <c r="G58" s="1"/>
      <c r="H58" s="1"/>
      <c r="I58" s="1"/>
      <c r="J58" s="1"/>
      <c r="K58" s="1"/>
      <c r="L58">
        <f>IF(D58+D59&gt;=25000,25000,+D58+D59)</f>
        <v>0</v>
      </c>
    </row>
    <row r="59" spans="2:12" ht="19.95" customHeight="1" x14ac:dyDescent="0.3">
      <c r="B59" s="1"/>
      <c r="C59" s="5" t="s">
        <v>43</v>
      </c>
      <c r="D59" s="7"/>
      <c r="E59" s="1" t="str">
        <f>IF(+D59&gt;0,(ROUND(+D58*(30/70),0)),"")</f>
        <v/>
      </c>
      <c r="F59" s="12" t="str">
        <f>IF(D59&gt;E59,"&lt;-Error - higher than TFFA amount","")</f>
        <v/>
      </c>
      <c r="G59" s="1"/>
      <c r="H59" s="1"/>
      <c r="I59" s="1"/>
      <c r="J59" s="1"/>
      <c r="K59" s="1"/>
      <c r="L59" s="1"/>
    </row>
    <row r="60" spans="2:12" ht="19.95" customHeight="1" thickBot="1" x14ac:dyDescent="0.35">
      <c r="C60" s="5" t="s">
        <v>44</v>
      </c>
      <c r="D60" s="23">
        <f>+D58+D59</f>
        <v>0</v>
      </c>
      <c r="E60" s="3"/>
      <c r="F60" s="3"/>
    </row>
    <row r="61" spans="2:12" ht="19.95" customHeight="1" x14ac:dyDescent="0.3">
      <c r="C61" s="5"/>
      <c r="D61" s="6"/>
    </row>
    <row r="62" spans="2:12" ht="19.95" customHeight="1" x14ac:dyDescent="0.3">
      <c r="C62" s="5" t="s">
        <v>45</v>
      </c>
      <c r="D62" s="7"/>
      <c r="E62" s="5" t="str">
        <f>IF(+E63&lt;&gt;"","Max F&amp;A","")</f>
        <v/>
      </c>
      <c r="F62" s="5"/>
      <c r="L62">
        <f>IF(D62+D63&gt;=25000,25000,+D62+D63)</f>
        <v>0</v>
      </c>
    </row>
    <row r="63" spans="2:12" ht="19.95" customHeight="1" x14ac:dyDescent="0.3">
      <c r="C63" s="5" t="s">
        <v>46</v>
      </c>
      <c r="D63" s="7"/>
      <c r="E63" s="1" t="str">
        <f>IF(+D63&gt;0,(ROUND(+D62*(30/70),0)),"")</f>
        <v/>
      </c>
      <c r="F63" s="12" t="str">
        <f>IF(D63&gt;E63,"&lt;-Error - higher than TFFA amount","")</f>
        <v/>
      </c>
    </row>
    <row r="64" spans="2:12" ht="19.95" customHeight="1" thickBot="1" x14ac:dyDescent="0.35">
      <c r="C64" s="5" t="s">
        <v>47</v>
      </c>
      <c r="D64" s="23">
        <f>+D62+D63</f>
        <v>0</v>
      </c>
      <c r="E64" s="3"/>
      <c r="F64" s="3"/>
    </row>
    <row r="65" spans="3:12" ht="19.95" customHeight="1" x14ac:dyDescent="0.3">
      <c r="C65" s="5"/>
      <c r="D65" s="6"/>
    </row>
    <row r="66" spans="3:12" ht="19.95" customHeight="1" x14ac:dyDescent="0.3">
      <c r="C66" s="5" t="s">
        <v>48</v>
      </c>
      <c r="D66" s="7"/>
      <c r="E66" s="5" t="str">
        <f>IF(+E67&lt;&gt;"","Max F&amp;A","")</f>
        <v/>
      </c>
      <c r="F66" s="5"/>
      <c r="L66">
        <f>IF(D66+D67&gt;=25000,25000,+D66+D67)</f>
        <v>0</v>
      </c>
    </row>
    <row r="67" spans="3:12" ht="19.95" customHeight="1" x14ac:dyDescent="0.3">
      <c r="C67" s="5" t="s">
        <v>49</v>
      </c>
      <c r="D67" s="7"/>
      <c r="E67" s="1" t="str">
        <f>IF(+D67&gt;0,(ROUND(+D66*(30/70),0)),"")</f>
        <v/>
      </c>
      <c r="F67" s="12" t="str">
        <f>IF(D67&gt;E67,"&lt;-Error - higher than TFFA amount","")</f>
        <v/>
      </c>
    </row>
    <row r="68" spans="3:12" ht="19.95" customHeight="1" thickBot="1" x14ac:dyDescent="0.35">
      <c r="C68" s="5" t="s">
        <v>50</v>
      </c>
      <c r="D68" s="23">
        <f>+D66+D67</f>
        <v>0</v>
      </c>
      <c r="E68" s="3"/>
      <c r="F68" s="3"/>
    </row>
    <row r="69" spans="3:12" ht="19.95" customHeight="1" x14ac:dyDescent="0.3">
      <c r="C69" s="5"/>
      <c r="D69" s="6"/>
    </row>
    <row r="70" spans="3:12" ht="19.95" customHeight="1" x14ac:dyDescent="0.3">
      <c r="C70" s="5" t="s">
        <v>51</v>
      </c>
      <c r="D70" s="7"/>
      <c r="E70" s="5" t="str">
        <f>IF(+E71&lt;&gt;"","Max F&amp;A","")</f>
        <v/>
      </c>
      <c r="F70" s="5"/>
      <c r="L70">
        <f>IF(D70+D71&gt;=25000,25000,+D70+D71)</f>
        <v>0</v>
      </c>
    </row>
    <row r="71" spans="3:12" ht="19.95" customHeight="1" x14ac:dyDescent="0.3">
      <c r="C71" s="5" t="s">
        <v>52</v>
      </c>
      <c r="D71" s="7"/>
      <c r="E71" s="1" t="str">
        <f>IF(+D71&gt;0,(ROUND(+D70*(30/70),0)),"")</f>
        <v/>
      </c>
      <c r="F71" s="12" t="str">
        <f>IF(D71&gt;E71,"&lt;-Error - higher than TFFA amount","")</f>
        <v/>
      </c>
    </row>
    <row r="72" spans="3:12" ht="19.95" customHeight="1" x14ac:dyDescent="0.3"/>
  </sheetData>
  <mergeCells count="3">
    <mergeCell ref="F2:G3"/>
    <mergeCell ref="C9:C10"/>
    <mergeCell ref="D9: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H43"/>
  <sheetViews>
    <sheetView topLeftCell="A16" workbookViewId="0">
      <selection activeCell="G4" sqref="G4"/>
    </sheetView>
  </sheetViews>
  <sheetFormatPr defaultRowHeight="14.4" x14ac:dyDescent="0.3"/>
  <cols>
    <col min="1" max="1" width="29.6640625" customWidth="1"/>
    <col min="2" max="2" width="68.88671875" customWidth="1"/>
    <col min="8" max="8" width="11.33203125" customWidth="1"/>
  </cols>
  <sheetData>
    <row r="2" spans="1:8" x14ac:dyDescent="0.3">
      <c r="A2" t="s">
        <v>143</v>
      </c>
    </row>
    <row r="4" spans="1:8" x14ac:dyDescent="0.3">
      <c r="A4" t="s">
        <v>77</v>
      </c>
      <c r="C4" s="227" t="s">
        <v>144</v>
      </c>
      <c r="D4" s="227" t="s">
        <v>145</v>
      </c>
      <c r="E4" s="227" t="s">
        <v>146</v>
      </c>
      <c r="F4" s="227" t="s">
        <v>147</v>
      </c>
      <c r="G4" s="227" t="s">
        <v>148</v>
      </c>
      <c r="H4" t="s">
        <v>149</v>
      </c>
    </row>
    <row r="5" spans="1:8" x14ac:dyDescent="0.3">
      <c r="A5" t="s">
        <v>230</v>
      </c>
      <c r="B5" s="228" t="s">
        <v>150</v>
      </c>
      <c r="C5" s="229">
        <v>0</v>
      </c>
      <c r="D5" s="229">
        <v>0</v>
      </c>
      <c r="E5" s="229">
        <v>0</v>
      </c>
      <c r="F5" s="229">
        <v>0</v>
      </c>
      <c r="G5" s="229">
        <v>0</v>
      </c>
      <c r="H5" s="229">
        <f>SUM(C5:G5)</f>
        <v>0</v>
      </c>
    </row>
    <row r="6" spans="1:8" x14ac:dyDescent="0.3">
      <c r="A6" t="s">
        <v>230</v>
      </c>
      <c r="B6" t="s">
        <v>150</v>
      </c>
      <c r="C6" s="229">
        <v>0</v>
      </c>
      <c r="D6" s="229">
        <v>0</v>
      </c>
      <c r="E6" s="229">
        <v>0</v>
      </c>
      <c r="F6" s="229">
        <v>0</v>
      </c>
      <c r="G6" s="229">
        <v>0</v>
      </c>
      <c r="H6" s="229">
        <f t="shared" ref="H6:H13" si="0">SUM(C6:G6)</f>
        <v>0</v>
      </c>
    </row>
    <row r="7" spans="1:8" x14ac:dyDescent="0.3">
      <c r="A7" t="s">
        <v>230</v>
      </c>
      <c r="B7" t="s">
        <v>150</v>
      </c>
      <c r="C7" s="229">
        <v>0</v>
      </c>
      <c r="D7" s="229">
        <v>0</v>
      </c>
      <c r="E7" s="229">
        <v>0</v>
      </c>
      <c r="F7" s="229">
        <v>0</v>
      </c>
      <c r="G7" s="229">
        <v>0</v>
      </c>
      <c r="H7" s="229">
        <f t="shared" si="0"/>
        <v>0</v>
      </c>
    </row>
    <row r="8" spans="1:8" x14ac:dyDescent="0.3">
      <c r="A8" t="s">
        <v>230</v>
      </c>
      <c r="B8" t="s">
        <v>150</v>
      </c>
      <c r="C8" s="229">
        <v>0</v>
      </c>
      <c r="D8" s="229">
        <v>0</v>
      </c>
      <c r="E8" s="229">
        <v>0</v>
      </c>
      <c r="F8" s="229">
        <v>0</v>
      </c>
      <c r="G8" s="229">
        <v>0</v>
      </c>
      <c r="H8" s="229">
        <f t="shared" si="0"/>
        <v>0</v>
      </c>
    </row>
    <row r="9" spans="1:8" x14ac:dyDescent="0.3">
      <c r="A9" t="s">
        <v>230</v>
      </c>
      <c r="B9" t="s">
        <v>150</v>
      </c>
      <c r="C9" s="229">
        <v>0</v>
      </c>
      <c r="D9" s="229">
        <v>0</v>
      </c>
      <c r="E9" s="229">
        <v>0</v>
      </c>
      <c r="F9" s="229">
        <v>0</v>
      </c>
      <c r="G9" s="229">
        <v>0</v>
      </c>
      <c r="H9" s="229">
        <f t="shared" si="0"/>
        <v>0</v>
      </c>
    </row>
    <row r="10" spans="1:8" x14ac:dyDescent="0.3">
      <c r="A10" t="s">
        <v>230</v>
      </c>
      <c r="B10" t="s">
        <v>150</v>
      </c>
      <c r="C10" s="229">
        <v>0</v>
      </c>
      <c r="D10" s="229">
        <v>0</v>
      </c>
      <c r="E10" s="229">
        <v>0</v>
      </c>
      <c r="F10" s="229">
        <v>0</v>
      </c>
      <c r="G10" s="229">
        <v>0</v>
      </c>
      <c r="H10" s="229">
        <f t="shared" si="0"/>
        <v>0</v>
      </c>
    </row>
    <row r="11" spans="1:8" x14ac:dyDescent="0.3">
      <c r="A11" t="s">
        <v>230</v>
      </c>
      <c r="B11" t="s">
        <v>150</v>
      </c>
      <c r="C11" s="229">
        <v>0</v>
      </c>
      <c r="D11" s="229">
        <v>0</v>
      </c>
      <c r="E11" s="229">
        <v>0</v>
      </c>
      <c r="F11" s="229">
        <v>0</v>
      </c>
      <c r="G11" s="229">
        <v>0</v>
      </c>
      <c r="H11" s="229">
        <f t="shared" si="0"/>
        <v>0</v>
      </c>
    </row>
    <row r="12" spans="1:8" x14ac:dyDescent="0.3">
      <c r="A12" t="s">
        <v>230</v>
      </c>
      <c r="B12" t="s">
        <v>150</v>
      </c>
      <c r="C12" s="229">
        <v>0</v>
      </c>
      <c r="D12" s="229">
        <v>0</v>
      </c>
      <c r="E12" s="229">
        <v>0</v>
      </c>
      <c r="F12" s="229">
        <v>0</v>
      </c>
      <c r="G12" s="229">
        <v>0</v>
      </c>
      <c r="H12" s="229">
        <f t="shared" si="0"/>
        <v>0</v>
      </c>
    </row>
    <row r="13" spans="1:8" x14ac:dyDescent="0.3">
      <c r="A13" t="s">
        <v>230</v>
      </c>
      <c r="B13" t="s">
        <v>150</v>
      </c>
      <c r="C13" s="229">
        <v>0</v>
      </c>
      <c r="D13" s="229">
        <v>0</v>
      </c>
      <c r="E13" s="229">
        <v>0</v>
      </c>
      <c r="F13" s="229">
        <v>0</v>
      </c>
      <c r="G13" s="229">
        <v>0</v>
      </c>
      <c r="H13" s="229">
        <f t="shared" si="0"/>
        <v>0</v>
      </c>
    </row>
    <row r="14" spans="1:8" x14ac:dyDescent="0.3">
      <c r="A14" t="s">
        <v>230</v>
      </c>
      <c r="B14" t="s">
        <v>150</v>
      </c>
      <c r="C14" s="229">
        <v>0</v>
      </c>
      <c r="D14" s="229">
        <v>0</v>
      </c>
      <c r="E14" s="229">
        <v>0</v>
      </c>
      <c r="F14" s="229">
        <v>0</v>
      </c>
      <c r="G14" s="229">
        <v>0</v>
      </c>
      <c r="H14" s="229">
        <f>SUM(C14:G14)</f>
        <v>0</v>
      </c>
    </row>
    <row r="15" spans="1:8" x14ac:dyDescent="0.3">
      <c r="A15" t="s">
        <v>230</v>
      </c>
      <c r="B15" t="s">
        <v>150</v>
      </c>
      <c r="C15" s="229">
        <v>0</v>
      </c>
      <c r="D15" s="229">
        <v>0</v>
      </c>
      <c r="E15" s="229">
        <v>0</v>
      </c>
      <c r="F15" s="229">
        <v>0</v>
      </c>
      <c r="G15" s="229">
        <v>0</v>
      </c>
      <c r="H15" s="229">
        <f t="shared" ref="H15:H22" si="1">SUM(C15:G15)</f>
        <v>0</v>
      </c>
    </row>
    <row r="16" spans="1:8" x14ac:dyDescent="0.3">
      <c r="A16" t="s">
        <v>230</v>
      </c>
      <c r="B16" t="s">
        <v>150</v>
      </c>
      <c r="C16" s="229">
        <v>0</v>
      </c>
      <c r="D16" s="229">
        <v>0</v>
      </c>
      <c r="E16" s="229">
        <v>0</v>
      </c>
      <c r="F16" s="229">
        <v>0</v>
      </c>
      <c r="G16" s="229">
        <v>0</v>
      </c>
      <c r="H16" s="229">
        <f t="shared" si="1"/>
        <v>0</v>
      </c>
    </row>
    <row r="17" spans="1:8" x14ac:dyDescent="0.3">
      <c r="A17" t="s">
        <v>230</v>
      </c>
      <c r="B17" t="s">
        <v>150</v>
      </c>
      <c r="C17" s="229">
        <v>0</v>
      </c>
      <c r="D17" s="229">
        <v>0</v>
      </c>
      <c r="E17" s="229">
        <v>0</v>
      </c>
      <c r="F17" s="229">
        <v>0</v>
      </c>
      <c r="G17" s="229">
        <v>0</v>
      </c>
      <c r="H17" s="229">
        <f t="shared" si="1"/>
        <v>0</v>
      </c>
    </row>
    <row r="18" spans="1:8" x14ac:dyDescent="0.3">
      <c r="A18" t="s">
        <v>230</v>
      </c>
      <c r="B18" t="s">
        <v>150</v>
      </c>
      <c r="C18" s="229">
        <v>0</v>
      </c>
      <c r="D18" s="229">
        <v>0</v>
      </c>
      <c r="E18" s="229">
        <v>0</v>
      </c>
      <c r="F18" s="229">
        <v>0</v>
      </c>
      <c r="G18" s="229">
        <v>0</v>
      </c>
      <c r="H18" s="229">
        <f t="shared" si="1"/>
        <v>0</v>
      </c>
    </row>
    <row r="19" spans="1:8" x14ac:dyDescent="0.3">
      <c r="A19" t="s">
        <v>230</v>
      </c>
      <c r="B19" t="s">
        <v>150</v>
      </c>
      <c r="C19" s="229">
        <v>0</v>
      </c>
      <c r="D19" s="229">
        <v>0</v>
      </c>
      <c r="E19" s="229">
        <v>0</v>
      </c>
      <c r="F19" s="229">
        <v>0</v>
      </c>
      <c r="G19" s="229">
        <v>0</v>
      </c>
      <c r="H19" s="229">
        <f t="shared" si="1"/>
        <v>0</v>
      </c>
    </row>
    <row r="20" spans="1:8" x14ac:dyDescent="0.3">
      <c r="A20" t="s">
        <v>230</v>
      </c>
      <c r="B20" t="s">
        <v>150</v>
      </c>
      <c r="C20" s="229">
        <v>0</v>
      </c>
      <c r="D20" s="229">
        <v>0</v>
      </c>
      <c r="E20" s="229">
        <v>0</v>
      </c>
      <c r="F20" s="229">
        <v>0</v>
      </c>
      <c r="G20" s="229">
        <v>0</v>
      </c>
      <c r="H20" s="229">
        <f t="shared" si="1"/>
        <v>0</v>
      </c>
    </row>
    <row r="21" spans="1:8" x14ac:dyDescent="0.3">
      <c r="A21" t="s">
        <v>230</v>
      </c>
      <c r="B21" t="s">
        <v>150</v>
      </c>
      <c r="C21" s="229">
        <v>0</v>
      </c>
      <c r="D21" s="229">
        <v>0</v>
      </c>
      <c r="E21" s="229">
        <v>0</v>
      </c>
      <c r="F21" s="229">
        <v>0</v>
      </c>
      <c r="G21" s="229">
        <v>0</v>
      </c>
      <c r="H21" s="229">
        <f t="shared" si="1"/>
        <v>0</v>
      </c>
    </row>
    <row r="22" spans="1:8" x14ac:dyDescent="0.3">
      <c r="A22" t="s">
        <v>230</v>
      </c>
      <c r="B22" t="s">
        <v>150</v>
      </c>
      <c r="C22" s="229">
        <v>0</v>
      </c>
      <c r="D22" s="229">
        <v>0</v>
      </c>
      <c r="E22" s="229">
        <v>0</v>
      </c>
      <c r="F22" s="229">
        <v>0</v>
      </c>
      <c r="G22" s="229">
        <v>0</v>
      </c>
      <c r="H22" s="229">
        <f t="shared" si="1"/>
        <v>0</v>
      </c>
    </row>
    <row r="23" spans="1:8" x14ac:dyDescent="0.3">
      <c r="A23" t="s">
        <v>230</v>
      </c>
      <c r="B23" t="s">
        <v>150</v>
      </c>
      <c r="C23" s="229">
        <v>0</v>
      </c>
      <c r="D23" s="229">
        <v>0</v>
      </c>
      <c r="E23" s="229">
        <v>0</v>
      </c>
      <c r="F23" s="229">
        <v>0</v>
      </c>
      <c r="G23" s="229">
        <v>0</v>
      </c>
      <c r="H23" s="229">
        <f>SUM(C23:G23)</f>
        <v>0</v>
      </c>
    </row>
    <row r="24" spans="1:8" x14ac:dyDescent="0.3">
      <c r="A24" t="s">
        <v>230</v>
      </c>
      <c r="B24" t="s">
        <v>150</v>
      </c>
      <c r="C24" s="229">
        <v>0</v>
      </c>
      <c r="D24" s="229">
        <v>0</v>
      </c>
      <c r="E24" s="229">
        <v>0</v>
      </c>
      <c r="F24" s="229">
        <v>0</v>
      </c>
      <c r="G24" s="229">
        <v>0</v>
      </c>
      <c r="H24" s="229">
        <f t="shared" ref="H24:H31" si="2">SUM(C24:G24)</f>
        <v>0</v>
      </c>
    </row>
    <row r="25" spans="1:8" x14ac:dyDescent="0.3">
      <c r="A25" t="s">
        <v>230</v>
      </c>
      <c r="B25" t="s">
        <v>150</v>
      </c>
      <c r="C25" s="229">
        <v>0</v>
      </c>
      <c r="D25" s="229">
        <v>0</v>
      </c>
      <c r="E25" s="229">
        <v>0</v>
      </c>
      <c r="F25" s="229">
        <v>0</v>
      </c>
      <c r="G25" s="229">
        <v>0</v>
      </c>
      <c r="H25" s="229">
        <f t="shared" si="2"/>
        <v>0</v>
      </c>
    </row>
    <row r="26" spans="1:8" x14ac:dyDescent="0.3">
      <c r="A26" t="s">
        <v>230</v>
      </c>
      <c r="B26" t="s">
        <v>150</v>
      </c>
      <c r="C26" s="229">
        <v>0</v>
      </c>
      <c r="D26" s="229">
        <v>0</v>
      </c>
      <c r="E26" s="229">
        <v>0</v>
      </c>
      <c r="F26" s="229">
        <v>0</v>
      </c>
      <c r="G26" s="229">
        <v>0</v>
      </c>
      <c r="H26" s="229">
        <f t="shared" si="2"/>
        <v>0</v>
      </c>
    </row>
    <row r="27" spans="1:8" x14ac:dyDescent="0.3">
      <c r="A27" t="s">
        <v>230</v>
      </c>
      <c r="B27" t="s">
        <v>150</v>
      </c>
      <c r="C27" s="229">
        <v>0</v>
      </c>
      <c r="D27" s="229">
        <v>0</v>
      </c>
      <c r="E27" s="229">
        <v>0</v>
      </c>
      <c r="F27" s="229">
        <v>0</v>
      </c>
      <c r="G27" s="229">
        <v>0</v>
      </c>
      <c r="H27" s="229">
        <f t="shared" si="2"/>
        <v>0</v>
      </c>
    </row>
    <row r="28" spans="1:8" x14ac:dyDescent="0.3">
      <c r="A28" t="s">
        <v>230</v>
      </c>
      <c r="B28" t="s">
        <v>150</v>
      </c>
      <c r="C28" s="229">
        <v>0</v>
      </c>
      <c r="D28" s="229">
        <v>0</v>
      </c>
      <c r="E28" s="229">
        <v>0</v>
      </c>
      <c r="F28" s="229">
        <v>0</v>
      </c>
      <c r="G28" s="229">
        <v>0</v>
      </c>
      <c r="H28" s="229">
        <f t="shared" si="2"/>
        <v>0</v>
      </c>
    </row>
    <row r="29" spans="1:8" x14ac:dyDescent="0.3">
      <c r="A29" t="s">
        <v>230</v>
      </c>
      <c r="B29" t="s">
        <v>150</v>
      </c>
      <c r="C29" s="229">
        <v>0</v>
      </c>
      <c r="D29" s="229">
        <v>0</v>
      </c>
      <c r="E29" s="229">
        <v>0</v>
      </c>
      <c r="F29" s="229">
        <v>0</v>
      </c>
      <c r="G29" s="229">
        <v>0</v>
      </c>
      <c r="H29" s="229">
        <f t="shared" si="2"/>
        <v>0</v>
      </c>
    </row>
    <row r="30" spans="1:8" x14ac:dyDescent="0.3">
      <c r="A30" t="s">
        <v>230</v>
      </c>
      <c r="B30" t="s">
        <v>150</v>
      </c>
      <c r="C30" s="229">
        <v>0</v>
      </c>
      <c r="D30" s="229">
        <v>0</v>
      </c>
      <c r="E30" s="229">
        <v>0</v>
      </c>
      <c r="F30" s="229">
        <v>0</v>
      </c>
      <c r="G30" s="229">
        <v>0</v>
      </c>
      <c r="H30" s="229">
        <f t="shared" si="2"/>
        <v>0</v>
      </c>
    </row>
    <row r="31" spans="1:8" x14ac:dyDescent="0.3">
      <c r="A31" t="s">
        <v>230</v>
      </c>
      <c r="B31" t="s">
        <v>150</v>
      </c>
      <c r="C31" s="229">
        <v>0</v>
      </c>
      <c r="D31" s="229">
        <v>0</v>
      </c>
      <c r="E31" s="229">
        <v>0</v>
      </c>
      <c r="F31" s="229">
        <v>0</v>
      </c>
      <c r="G31" s="229">
        <v>0</v>
      </c>
      <c r="H31" s="229">
        <f t="shared" si="2"/>
        <v>0</v>
      </c>
    </row>
    <row r="32" spans="1:8" x14ac:dyDescent="0.3">
      <c r="A32" t="s">
        <v>230</v>
      </c>
      <c r="B32" t="s">
        <v>150</v>
      </c>
      <c r="C32" s="229">
        <v>0</v>
      </c>
      <c r="D32" s="229">
        <v>0</v>
      </c>
      <c r="E32" s="229">
        <v>0</v>
      </c>
      <c r="F32" s="229">
        <v>0</v>
      </c>
      <c r="G32" s="229">
        <v>0</v>
      </c>
      <c r="H32" s="229">
        <f>SUM(C32:G32)</f>
        <v>0</v>
      </c>
    </row>
    <row r="33" spans="1:8" x14ac:dyDescent="0.3">
      <c r="A33" t="s">
        <v>230</v>
      </c>
      <c r="B33" t="s">
        <v>150</v>
      </c>
      <c r="C33" s="229">
        <v>0</v>
      </c>
      <c r="D33" s="229">
        <v>0</v>
      </c>
      <c r="E33" s="229">
        <v>0</v>
      </c>
      <c r="F33" s="229">
        <v>0</v>
      </c>
      <c r="G33" s="229">
        <v>0</v>
      </c>
      <c r="H33" s="229">
        <f t="shared" ref="H33:H40" si="3">SUM(C33:G33)</f>
        <v>0</v>
      </c>
    </row>
    <row r="34" spans="1:8" x14ac:dyDescent="0.3">
      <c r="A34" t="s">
        <v>230</v>
      </c>
      <c r="B34" t="s">
        <v>150</v>
      </c>
      <c r="C34" s="229">
        <v>0</v>
      </c>
      <c r="D34" s="229">
        <v>0</v>
      </c>
      <c r="E34" s="229">
        <v>0</v>
      </c>
      <c r="F34" s="229">
        <v>0</v>
      </c>
      <c r="G34" s="229">
        <v>0</v>
      </c>
      <c r="H34" s="229">
        <f t="shared" si="3"/>
        <v>0</v>
      </c>
    </row>
    <row r="35" spans="1:8" x14ac:dyDescent="0.3">
      <c r="A35" t="s">
        <v>230</v>
      </c>
      <c r="B35" t="s">
        <v>150</v>
      </c>
      <c r="C35" s="229">
        <v>0</v>
      </c>
      <c r="D35" s="229">
        <v>0</v>
      </c>
      <c r="E35" s="229">
        <v>0</v>
      </c>
      <c r="F35" s="229">
        <v>0</v>
      </c>
      <c r="G35" s="229">
        <v>0</v>
      </c>
      <c r="H35" s="229">
        <f t="shared" si="3"/>
        <v>0</v>
      </c>
    </row>
    <row r="36" spans="1:8" x14ac:dyDescent="0.3">
      <c r="A36" t="s">
        <v>230</v>
      </c>
      <c r="B36" t="s">
        <v>150</v>
      </c>
      <c r="C36" s="229">
        <v>0</v>
      </c>
      <c r="D36" s="229">
        <v>0</v>
      </c>
      <c r="E36" s="229">
        <v>0</v>
      </c>
      <c r="F36" s="229">
        <v>0</v>
      </c>
      <c r="G36" s="229">
        <v>0</v>
      </c>
      <c r="H36" s="229">
        <f t="shared" si="3"/>
        <v>0</v>
      </c>
    </row>
    <row r="37" spans="1:8" x14ac:dyDescent="0.3">
      <c r="A37" t="s">
        <v>230</v>
      </c>
      <c r="B37" t="s">
        <v>150</v>
      </c>
      <c r="C37" s="229">
        <v>0</v>
      </c>
      <c r="D37" s="229">
        <v>0</v>
      </c>
      <c r="E37" s="229">
        <v>0</v>
      </c>
      <c r="F37" s="229">
        <v>0</v>
      </c>
      <c r="G37" s="229">
        <v>0</v>
      </c>
      <c r="H37" s="229">
        <f t="shared" si="3"/>
        <v>0</v>
      </c>
    </row>
    <row r="38" spans="1:8" x14ac:dyDescent="0.3">
      <c r="A38" t="s">
        <v>230</v>
      </c>
      <c r="B38" t="s">
        <v>150</v>
      </c>
      <c r="C38" s="229">
        <v>0</v>
      </c>
      <c r="D38" s="229">
        <v>0</v>
      </c>
      <c r="E38" s="229">
        <v>0</v>
      </c>
      <c r="F38" s="229">
        <v>0</v>
      </c>
      <c r="G38" s="229">
        <v>0</v>
      </c>
      <c r="H38" s="229">
        <f t="shared" si="3"/>
        <v>0</v>
      </c>
    </row>
    <row r="39" spans="1:8" x14ac:dyDescent="0.3">
      <c r="A39" t="s">
        <v>230</v>
      </c>
      <c r="B39" t="s">
        <v>150</v>
      </c>
      <c r="C39" s="229">
        <v>0</v>
      </c>
      <c r="D39" s="229">
        <v>0</v>
      </c>
      <c r="E39" s="229">
        <v>0</v>
      </c>
      <c r="F39" s="229">
        <v>0</v>
      </c>
      <c r="G39" s="229">
        <v>0</v>
      </c>
      <c r="H39" s="229">
        <f t="shared" si="3"/>
        <v>0</v>
      </c>
    </row>
    <row r="40" spans="1:8" x14ac:dyDescent="0.3">
      <c r="A40" t="s">
        <v>230</v>
      </c>
      <c r="B40" t="s">
        <v>150</v>
      </c>
      <c r="C40" s="229">
        <v>0</v>
      </c>
      <c r="D40" s="229">
        <v>0</v>
      </c>
      <c r="E40" s="229">
        <v>0</v>
      </c>
      <c r="F40" s="229">
        <v>0</v>
      </c>
      <c r="G40" s="229">
        <v>0</v>
      </c>
      <c r="H40" s="229">
        <f t="shared" si="3"/>
        <v>0</v>
      </c>
    </row>
    <row r="41" spans="1:8" x14ac:dyDescent="0.3">
      <c r="A41" t="s">
        <v>230</v>
      </c>
      <c r="B41" t="s">
        <v>150</v>
      </c>
      <c r="C41" s="229">
        <v>0</v>
      </c>
      <c r="D41" s="229">
        <v>0</v>
      </c>
      <c r="E41" s="229">
        <v>0</v>
      </c>
      <c r="F41" s="229">
        <v>0</v>
      </c>
      <c r="G41" s="229">
        <v>0</v>
      </c>
      <c r="H41" s="229">
        <v>0</v>
      </c>
    </row>
    <row r="42" spans="1:8" x14ac:dyDescent="0.3">
      <c r="A42" t="s">
        <v>230</v>
      </c>
      <c r="B42" s="230" t="s">
        <v>150</v>
      </c>
      <c r="C42" s="229">
        <v>0</v>
      </c>
      <c r="D42" s="229">
        <v>0</v>
      </c>
      <c r="E42" s="229">
        <v>0</v>
      </c>
      <c r="F42" s="229">
        <v>0</v>
      </c>
      <c r="G42" s="229">
        <v>0</v>
      </c>
      <c r="H42" s="229">
        <v>0</v>
      </c>
    </row>
    <row r="43" spans="1:8" x14ac:dyDescent="0.3">
      <c r="C43" s="231">
        <f t="shared" ref="C43:H43" si="4">SUM(C5:C42)</f>
        <v>0</v>
      </c>
      <c r="D43" s="231">
        <f t="shared" si="4"/>
        <v>0</v>
      </c>
      <c r="E43" s="231">
        <f t="shared" si="4"/>
        <v>0</v>
      </c>
      <c r="F43" s="231">
        <f t="shared" si="4"/>
        <v>0</v>
      </c>
      <c r="G43" s="231">
        <f t="shared" si="4"/>
        <v>0</v>
      </c>
      <c r="H43" s="231">
        <f t="shared" si="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4F419"/>
  </sheetPr>
  <dimension ref="A1:J41"/>
  <sheetViews>
    <sheetView tabSelected="1" topLeftCell="C1" workbookViewId="0">
      <selection activeCell="D9" sqref="D9"/>
    </sheetView>
  </sheetViews>
  <sheetFormatPr defaultRowHeight="14.4" x14ac:dyDescent="0.3"/>
  <cols>
    <col min="1" max="3" width="24.5546875" customWidth="1"/>
    <col min="4" max="4" width="85.33203125" customWidth="1"/>
    <col min="5" max="9" width="10.109375" bestFit="1" customWidth="1"/>
    <col min="10" max="10" width="11.109375" customWidth="1"/>
  </cols>
  <sheetData>
    <row r="1" spans="1:10" ht="15.6" x14ac:dyDescent="0.3">
      <c r="A1" s="232" t="s">
        <v>151</v>
      </c>
      <c r="B1" s="232"/>
      <c r="C1" s="228" t="s">
        <v>260</v>
      </c>
      <c r="D1" s="289" t="s">
        <v>261</v>
      </c>
    </row>
    <row r="2" spans="1:10" x14ac:dyDescent="0.3">
      <c r="A2" t="s">
        <v>77</v>
      </c>
      <c r="D2" t="s">
        <v>273</v>
      </c>
      <c r="E2" s="227" t="s">
        <v>144</v>
      </c>
      <c r="F2" s="227" t="s">
        <v>145</v>
      </c>
      <c r="G2" s="227" t="s">
        <v>146</v>
      </c>
      <c r="H2" s="227" t="s">
        <v>147</v>
      </c>
      <c r="I2" s="227" t="s">
        <v>148</v>
      </c>
      <c r="J2" t="s">
        <v>149</v>
      </c>
    </row>
    <row r="3" spans="1:10" x14ac:dyDescent="0.3">
      <c r="A3" t="s">
        <v>152</v>
      </c>
      <c r="C3" t="s">
        <v>153</v>
      </c>
      <c r="D3" s="228" t="s">
        <v>154</v>
      </c>
      <c r="E3" s="229">
        <v>0</v>
      </c>
      <c r="F3" s="229">
        <v>0</v>
      </c>
      <c r="G3" s="229">
        <v>0</v>
      </c>
      <c r="H3" s="229">
        <v>0</v>
      </c>
      <c r="I3" s="229">
        <v>0</v>
      </c>
      <c r="J3" s="229">
        <f>SUM(E3:I3)</f>
        <v>0</v>
      </c>
    </row>
    <row r="4" spans="1:10" x14ac:dyDescent="0.3">
      <c r="A4" t="s">
        <v>152</v>
      </c>
      <c r="D4" s="228" t="s">
        <v>155</v>
      </c>
      <c r="E4" s="229">
        <v>0</v>
      </c>
      <c r="F4" s="229">
        <v>0</v>
      </c>
      <c r="G4" s="229">
        <v>0</v>
      </c>
      <c r="H4" s="229">
        <v>0</v>
      </c>
      <c r="I4" s="229">
        <v>0</v>
      </c>
      <c r="J4" s="229">
        <f>SUM(E4:I4)</f>
        <v>0</v>
      </c>
    </row>
    <row r="5" spans="1:10" x14ac:dyDescent="0.3">
      <c r="A5" t="s">
        <v>152</v>
      </c>
      <c r="D5" s="228" t="s">
        <v>155</v>
      </c>
      <c r="E5" s="229">
        <v>0</v>
      </c>
      <c r="F5" s="229">
        <v>0</v>
      </c>
      <c r="G5" s="229">
        <v>0</v>
      </c>
      <c r="H5" s="229">
        <v>0</v>
      </c>
      <c r="I5" s="229">
        <v>0</v>
      </c>
      <c r="J5" s="229">
        <f t="shared" ref="J5:J11" si="0">SUM(E5:I5)</f>
        <v>0</v>
      </c>
    </row>
    <row r="6" spans="1:10" x14ac:dyDescent="0.3">
      <c r="A6" t="s">
        <v>152</v>
      </c>
      <c r="D6" s="228" t="s">
        <v>155</v>
      </c>
      <c r="E6" s="229">
        <v>0</v>
      </c>
      <c r="F6" s="229">
        <v>0</v>
      </c>
      <c r="G6" s="229">
        <v>0</v>
      </c>
      <c r="H6" s="229">
        <v>0</v>
      </c>
      <c r="I6" s="229">
        <v>0</v>
      </c>
      <c r="J6" s="229">
        <f t="shared" si="0"/>
        <v>0</v>
      </c>
    </row>
    <row r="7" spans="1:10" x14ac:dyDescent="0.3">
      <c r="A7" t="s">
        <v>152</v>
      </c>
      <c r="D7" s="228" t="s">
        <v>155</v>
      </c>
      <c r="E7" s="229">
        <v>0</v>
      </c>
      <c r="F7" s="229">
        <v>0</v>
      </c>
      <c r="G7" s="229">
        <v>0</v>
      </c>
      <c r="H7" s="229">
        <v>0</v>
      </c>
      <c r="I7" s="229">
        <v>0</v>
      </c>
      <c r="J7" s="229">
        <f t="shared" si="0"/>
        <v>0</v>
      </c>
    </row>
    <row r="8" spans="1:10" x14ac:dyDescent="0.3">
      <c r="A8" t="s">
        <v>152</v>
      </c>
      <c r="D8" s="228" t="s">
        <v>155</v>
      </c>
      <c r="E8" s="229">
        <v>0</v>
      </c>
      <c r="F8" s="229">
        <v>0</v>
      </c>
      <c r="G8" s="229">
        <v>0</v>
      </c>
      <c r="H8" s="229">
        <v>0</v>
      </c>
      <c r="I8" s="229">
        <v>0</v>
      </c>
      <c r="J8" s="229">
        <f t="shared" si="0"/>
        <v>0</v>
      </c>
    </row>
    <row r="9" spans="1:10" x14ac:dyDescent="0.3">
      <c r="A9" t="s">
        <v>152</v>
      </c>
      <c r="D9" s="228" t="s">
        <v>155</v>
      </c>
      <c r="E9" s="229">
        <v>0</v>
      </c>
      <c r="F9" s="229">
        <v>0</v>
      </c>
      <c r="G9" s="229">
        <v>0</v>
      </c>
      <c r="H9" s="229">
        <v>0</v>
      </c>
      <c r="I9" s="229">
        <v>0</v>
      </c>
      <c r="J9" s="229">
        <f t="shared" si="0"/>
        <v>0</v>
      </c>
    </row>
    <row r="10" spans="1:10" x14ac:dyDescent="0.3">
      <c r="A10" t="s">
        <v>152</v>
      </c>
      <c r="D10" s="228" t="s">
        <v>155</v>
      </c>
      <c r="E10" s="229">
        <v>0</v>
      </c>
      <c r="F10" s="229">
        <v>0</v>
      </c>
      <c r="G10" s="229">
        <v>0</v>
      </c>
      <c r="H10" s="229">
        <v>0</v>
      </c>
      <c r="I10" s="229">
        <v>0</v>
      </c>
      <c r="J10" s="229">
        <f t="shared" si="0"/>
        <v>0</v>
      </c>
    </row>
    <row r="11" spans="1:10" x14ac:dyDescent="0.3">
      <c r="A11" t="s">
        <v>152</v>
      </c>
      <c r="D11" s="228" t="s">
        <v>155</v>
      </c>
      <c r="E11" s="229">
        <v>0</v>
      </c>
      <c r="F11" s="229">
        <v>0</v>
      </c>
      <c r="G11" s="229">
        <v>0</v>
      </c>
      <c r="H11" s="229">
        <v>0</v>
      </c>
      <c r="I11" s="229">
        <v>0</v>
      </c>
      <c r="J11" s="229">
        <f t="shared" si="0"/>
        <v>0</v>
      </c>
    </row>
    <row r="12" spans="1:10" x14ac:dyDescent="0.3">
      <c r="A12" t="s">
        <v>152</v>
      </c>
      <c r="D12" s="228" t="s">
        <v>155</v>
      </c>
      <c r="E12" s="229">
        <v>0</v>
      </c>
      <c r="F12" s="229">
        <v>0</v>
      </c>
      <c r="G12" s="229">
        <v>0</v>
      </c>
      <c r="H12" s="229">
        <v>0</v>
      </c>
      <c r="I12" s="229">
        <v>0</v>
      </c>
      <c r="J12" s="229">
        <f>SUM(E12:I12)</f>
        <v>0</v>
      </c>
    </row>
    <row r="13" spans="1:10" x14ac:dyDescent="0.3">
      <c r="A13" t="s">
        <v>152</v>
      </c>
      <c r="D13" s="228" t="s">
        <v>155</v>
      </c>
      <c r="E13" s="229">
        <v>0</v>
      </c>
      <c r="F13" s="229">
        <v>0</v>
      </c>
      <c r="G13" s="229">
        <v>0</v>
      </c>
      <c r="H13" s="229">
        <v>0</v>
      </c>
      <c r="I13" s="229">
        <v>0</v>
      </c>
      <c r="J13" s="229">
        <f t="shared" ref="J13:J20" si="1">SUM(E13:I13)</f>
        <v>0</v>
      </c>
    </row>
    <row r="14" spans="1:10" x14ac:dyDescent="0.3">
      <c r="A14" t="s">
        <v>152</v>
      </c>
      <c r="D14" s="228" t="s">
        <v>155</v>
      </c>
      <c r="E14" s="229">
        <v>0</v>
      </c>
      <c r="F14" s="229">
        <v>0</v>
      </c>
      <c r="G14" s="229">
        <v>0</v>
      </c>
      <c r="H14" s="229">
        <v>0</v>
      </c>
      <c r="I14" s="229">
        <v>0</v>
      </c>
      <c r="J14" s="229">
        <f t="shared" si="1"/>
        <v>0</v>
      </c>
    </row>
    <row r="15" spans="1:10" x14ac:dyDescent="0.3">
      <c r="A15" t="s">
        <v>152</v>
      </c>
      <c r="D15" s="228" t="s">
        <v>155</v>
      </c>
      <c r="E15" s="229">
        <v>0</v>
      </c>
      <c r="F15" s="229">
        <v>0</v>
      </c>
      <c r="G15" s="229">
        <v>0</v>
      </c>
      <c r="H15" s="229">
        <v>0</v>
      </c>
      <c r="I15" s="229">
        <v>0</v>
      </c>
      <c r="J15" s="229">
        <f t="shared" si="1"/>
        <v>0</v>
      </c>
    </row>
    <row r="16" spans="1:10" x14ac:dyDescent="0.3">
      <c r="A16" t="s">
        <v>152</v>
      </c>
      <c r="D16" s="228" t="s">
        <v>155</v>
      </c>
      <c r="E16" s="229">
        <v>0</v>
      </c>
      <c r="F16" s="229">
        <v>0</v>
      </c>
      <c r="G16" s="229">
        <v>0</v>
      </c>
      <c r="H16" s="229">
        <v>0</v>
      </c>
      <c r="I16" s="229">
        <v>0</v>
      </c>
      <c r="J16" s="229">
        <f t="shared" si="1"/>
        <v>0</v>
      </c>
    </row>
    <row r="17" spans="1:10" x14ac:dyDescent="0.3">
      <c r="A17" t="s">
        <v>152</v>
      </c>
      <c r="D17" s="228" t="s">
        <v>155</v>
      </c>
      <c r="E17" s="229">
        <v>0</v>
      </c>
      <c r="F17" s="229">
        <v>0</v>
      </c>
      <c r="G17" s="229">
        <v>0</v>
      </c>
      <c r="H17" s="229">
        <v>0</v>
      </c>
      <c r="I17" s="229">
        <v>0</v>
      </c>
      <c r="J17" s="229">
        <f t="shared" si="1"/>
        <v>0</v>
      </c>
    </row>
    <row r="18" spans="1:10" x14ac:dyDescent="0.3">
      <c r="A18" t="s">
        <v>152</v>
      </c>
      <c r="D18" s="228" t="s">
        <v>155</v>
      </c>
      <c r="E18" s="229">
        <v>0</v>
      </c>
      <c r="F18" s="229">
        <v>0</v>
      </c>
      <c r="G18" s="229">
        <v>0</v>
      </c>
      <c r="H18" s="229">
        <v>0</v>
      </c>
      <c r="I18" s="229">
        <v>0</v>
      </c>
      <c r="J18" s="229">
        <f t="shared" si="1"/>
        <v>0</v>
      </c>
    </row>
    <row r="19" spans="1:10" x14ac:dyDescent="0.3">
      <c r="A19" t="s">
        <v>152</v>
      </c>
      <c r="D19" s="228" t="s">
        <v>155</v>
      </c>
      <c r="E19" s="229">
        <v>0</v>
      </c>
      <c r="F19" s="229">
        <v>0</v>
      </c>
      <c r="G19" s="229">
        <v>0</v>
      </c>
      <c r="H19" s="229">
        <v>0</v>
      </c>
      <c r="I19" s="229">
        <v>0</v>
      </c>
      <c r="J19" s="229">
        <f t="shared" si="1"/>
        <v>0</v>
      </c>
    </row>
    <row r="20" spans="1:10" x14ac:dyDescent="0.3">
      <c r="A20" t="s">
        <v>152</v>
      </c>
      <c r="D20" s="228" t="s">
        <v>155</v>
      </c>
      <c r="E20" s="229">
        <v>0</v>
      </c>
      <c r="F20" s="229">
        <v>0</v>
      </c>
      <c r="G20" s="229">
        <v>0</v>
      </c>
      <c r="H20" s="229">
        <v>0</v>
      </c>
      <c r="I20" s="229">
        <v>0</v>
      </c>
      <c r="J20" s="229">
        <f t="shared" si="1"/>
        <v>0</v>
      </c>
    </row>
    <row r="21" spans="1:10" x14ac:dyDescent="0.3">
      <c r="A21" t="s">
        <v>152</v>
      </c>
      <c r="D21" s="228" t="s">
        <v>155</v>
      </c>
      <c r="E21" s="229">
        <v>0</v>
      </c>
      <c r="F21" s="229">
        <v>0</v>
      </c>
      <c r="G21" s="229">
        <v>0</v>
      </c>
      <c r="H21" s="229">
        <v>0</v>
      </c>
      <c r="I21" s="229">
        <v>0</v>
      </c>
      <c r="J21" s="229">
        <f>SUM(E21:I21)</f>
        <v>0</v>
      </c>
    </row>
    <row r="22" spans="1:10" x14ac:dyDescent="0.3">
      <c r="A22" t="s">
        <v>152</v>
      </c>
      <c r="D22" s="228" t="s">
        <v>155</v>
      </c>
      <c r="E22" s="229">
        <v>0</v>
      </c>
      <c r="F22" s="229">
        <v>0</v>
      </c>
      <c r="G22" s="229">
        <v>0</v>
      </c>
      <c r="H22" s="229">
        <v>0</v>
      </c>
      <c r="I22" s="229">
        <v>0</v>
      </c>
      <c r="J22" s="229">
        <f t="shared" ref="J22:J29" si="2">SUM(E22:I22)</f>
        <v>0</v>
      </c>
    </row>
    <row r="23" spans="1:10" x14ac:dyDescent="0.3">
      <c r="A23" t="s">
        <v>152</v>
      </c>
      <c r="D23" s="228" t="s">
        <v>155</v>
      </c>
      <c r="E23" s="229">
        <v>0</v>
      </c>
      <c r="F23" s="229">
        <v>0</v>
      </c>
      <c r="G23" s="229">
        <v>0</v>
      </c>
      <c r="H23" s="229">
        <v>0</v>
      </c>
      <c r="I23" s="229">
        <v>0</v>
      </c>
      <c r="J23" s="229">
        <f t="shared" si="2"/>
        <v>0</v>
      </c>
    </row>
    <row r="24" spans="1:10" x14ac:dyDescent="0.3">
      <c r="A24" t="s">
        <v>152</v>
      </c>
      <c r="D24" s="228" t="s">
        <v>155</v>
      </c>
      <c r="E24" s="229">
        <v>0</v>
      </c>
      <c r="F24" s="229">
        <v>0</v>
      </c>
      <c r="G24" s="229">
        <v>0</v>
      </c>
      <c r="H24" s="229">
        <v>0</v>
      </c>
      <c r="I24" s="229">
        <v>0</v>
      </c>
      <c r="J24" s="229">
        <f t="shared" si="2"/>
        <v>0</v>
      </c>
    </row>
    <row r="25" spans="1:10" x14ac:dyDescent="0.3">
      <c r="A25" t="s">
        <v>152</v>
      </c>
      <c r="D25" s="228" t="s">
        <v>155</v>
      </c>
      <c r="E25" s="229">
        <v>0</v>
      </c>
      <c r="F25" s="229">
        <v>0</v>
      </c>
      <c r="G25" s="229">
        <v>0</v>
      </c>
      <c r="H25" s="229">
        <v>0</v>
      </c>
      <c r="I25" s="229">
        <v>0</v>
      </c>
      <c r="J25" s="229">
        <f t="shared" si="2"/>
        <v>0</v>
      </c>
    </row>
    <row r="26" spans="1:10" x14ac:dyDescent="0.3">
      <c r="A26" t="s">
        <v>152</v>
      </c>
      <c r="D26" s="228" t="s">
        <v>155</v>
      </c>
      <c r="E26" s="229">
        <v>0</v>
      </c>
      <c r="F26" s="229">
        <v>0</v>
      </c>
      <c r="G26" s="229">
        <v>0</v>
      </c>
      <c r="H26" s="229">
        <v>0</v>
      </c>
      <c r="I26" s="229">
        <v>0</v>
      </c>
      <c r="J26" s="229">
        <f t="shared" si="2"/>
        <v>0</v>
      </c>
    </row>
    <row r="27" spans="1:10" x14ac:dyDescent="0.3">
      <c r="A27" t="s">
        <v>152</v>
      </c>
      <c r="D27" s="228" t="s">
        <v>155</v>
      </c>
      <c r="E27" s="229">
        <v>0</v>
      </c>
      <c r="F27" s="229">
        <v>0</v>
      </c>
      <c r="G27" s="229">
        <v>0</v>
      </c>
      <c r="H27" s="229">
        <v>0</v>
      </c>
      <c r="I27" s="229">
        <v>0</v>
      </c>
      <c r="J27" s="229">
        <f t="shared" si="2"/>
        <v>0</v>
      </c>
    </row>
    <row r="28" spans="1:10" x14ac:dyDescent="0.3">
      <c r="A28" t="s">
        <v>152</v>
      </c>
      <c r="D28" s="228" t="s">
        <v>155</v>
      </c>
      <c r="E28" s="229">
        <v>0</v>
      </c>
      <c r="F28" s="229">
        <v>0</v>
      </c>
      <c r="G28" s="229">
        <v>0</v>
      </c>
      <c r="H28" s="229">
        <v>0</v>
      </c>
      <c r="I28" s="229">
        <v>0</v>
      </c>
      <c r="J28" s="229">
        <f t="shared" si="2"/>
        <v>0</v>
      </c>
    </row>
    <row r="29" spans="1:10" x14ac:dyDescent="0.3">
      <c r="A29" t="s">
        <v>152</v>
      </c>
      <c r="D29" s="228" t="s">
        <v>155</v>
      </c>
      <c r="E29" s="229">
        <v>0</v>
      </c>
      <c r="F29" s="229">
        <v>0</v>
      </c>
      <c r="G29" s="229">
        <v>0</v>
      </c>
      <c r="H29" s="229">
        <v>0</v>
      </c>
      <c r="I29" s="229">
        <v>0</v>
      </c>
      <c r="J29" s="229">
        <f t="shared" si="2"/>
        <v>0</v>
      </c>
    </row>
    <row r="30" spans="1:10" x14ac:dyDescent="0.3">
      <c r="A30" t="s">
        <v>152</v>
      </c>
      <c r="D30" s="228" t="s">
        <v>155</v>
      </c>
      <c r="E30" s="229">
        <v>0</v>
      </c>
      <c r="F30" s="229">
        <v>0</v>
      </c>
      <c r="G30" s="229">
        <v>0</v>
      </c>
      <c r="H30" s="229">
        <v>0</v>
      </c>
      <c r="I30" s="229">
        <v>0</v>
      </c>
      <c r="J30" s="229">
        <f>SUM(E30:I30)</f>
        <v>0</v>
      </c>
    </row>
    <row r="31" spans="1:10" x14ac:dyDescent="0.3">
      <c r="A31" t="s">
        <v>152</v>
      </c>
      <c r="D31" s="228" t="s">
        <v>155</v>
      </c>
      <c r="E31" s="229">
        <v>0</v>
      </c>
      <c r="F31" s="229">
        <v>0</v>
      </c>
      <c r="G31" s="229">
        <v>0</v>
      </c>
      <c r="H31" s="229">
        <v>0</v>
      </c>
      <c r="I31" s="229">
        <v>0</v>
      </c>
      <c r="J31" s="229">
        <f t="shared" ref="J31:J38" si="3">SUM(E31:I31)</f>
        <v>0</v>
      </c>
    </row>
    <row r="32" spans="1:10" x14ac:dyDescent="0.3">
      <c r="A32" t="s">
        <v>152</v>
      </c>
      <c r="D32" s="228" t="s">
        <v>155</v>
      </c>
      <c r="E32" s="229">
        <v>0</v>
      </c>
      <c r="F32" s="229">
        <v>0</v>
      </c>
      <c r="G32" s="229">
        <v>0</v>
      </c>
      <c r="H32" s="229">
        <v>0</v>
      </c>
      <c r="I32" s="229">
        <v>0</v>
      </c>
      <c r="J32" s="229">
        <f t="shared" si="3"/>
        <v>0</v>
      </c>
    </row>
    <row r="33" spans="1:10" x14ac:dyDescent="0.3">
      <c r="A33" t="s">
        <v>152</v>
      </c>
      <c r="D33" s="228" t="s">
        <v>155</v>
      </c>
      <c r="E33" s="229">
        <v>0</v>
      </c>
      <c r="F33" s="229">
        <v>0</v>
      </c>
      <c r="G33" s="229">
        <v>0</v>
      </c>
      <c r="H33" s="229">
        <v>0</v>
      </c>
      <c r="I33" s="229">
        <v>0</v>
      </c>
      <c r="J33" s="229">
        <f t="shared" si="3"/>
        <v>0</v>
      </c>
    </row>
    <row r="34" spans="1:10" x14ac:dyDescent="0.3">
      <c r="A34" t="s">
        <v>152</v>
      </c>
      <c r="D34" s="228" t="s">
        <v>155</v>
      </c>
      <c r="E34" s="229">
        <v>0</v>
      </c>
      <c r="F34" s="229">
        <v>0</v>
      </c>
      <c r="G34" s="229">
        <v>0</v>
      </c>
      <c r="H34" s="229">
        <v>0</v>
      </c>
      <c r="I34" s="229">
        <v>0</v>
      </c>
      <c r="J34" s="229">
        <f t="shared" si="3"/>
        <v>0</v>
      </c>
    </row>
    <row r="35" spans="1:10" x14ac:dyDescent="0.3">
      <c r="A35" t="s">
        <v>152</v>
      </c>
      <c r="D35" s="228" t="s">
        <v>155</v>
      </c>
      <c r="E35" s="229">
        <v>0</v>
      </c>
      <c r="F35" s="229">
        <v>0</v>
      </c>
      <c r="G35" s="229">
        <v>0</v>
      </c>
      <c r="H35" s="229">
        <v>0</v>
      </c>
      <c r="I35" s="229">
        <v>0</v>
      </c>
      <c r="J35" s="229">
        <f t="shared" si="3"/>
        <v>0</v>
      </c>
    </row>
    <row r="36" spans="1:10" x14ac:dyDescent="0.3">
      <c r="A36" t="s">
        <v>152</v>
      </c>
      <c r="D36" s="228" t="s">
        <v>155</v>
      </c>
      <c r="E36" s="229">
        <v>0</v>
      </c>
      <c r="F36" s="229">
        <v>0</v>
      </c>
      <c r="G36" s="229">
        <v>0</v>
      </c>
      <c r="H36" s="229">
        <v>0</v>
      </c>
      <c r="I36" s="229">
        <v>0</v>
      </c>
      <c r="J36" s="229">
        <f t="shared" si="3"/>
        <v>0</v>
      </c>
    </row>
    <row r="37" spans="1:10" x14ac:dyDescent="0.3">
      <c r="A37" t="s">
        <v>152</v>
      </c>
      <c r="D37" s="228" t="s">
        <v>155</v>
      </c>
      <c r="E37" s="229">
        <v>0</v>
      </c>
      <c r="F37" s="229">
        <v>0</v>
      </c>
      <c r="G37" s="229">
        <v>0</v>
      </c>
      <c r="H37" s="229">
        <v>0</v>
      </c>
      <c r="I37" s="229">
        <v>0</v>
      </c>
      <c r="J37" s="229">
        <f t="shared" si="3"/>
        <v>0</v>
      </c>
    </row>
    <row r="38" spans="1:10" x14ac:dyDescent="0.3">
      <c r="A38" t="s">
        <v>152</v>
      </c>
      <c r="D38" s="228" t="s">
        <v>155</v>
      </c>
      <c r="E38" s="229">
        <v>0</v>
      </c>
      <c r="F38" s="229">
        <v>0</v>
      </c>
      <c r="G38" s="229">
        <v>0</v>
      </c>
      <c r="H38" s="229">
        <v>0</v>
      </c>
      <c r="I38" s="229">
        <v>0</v>
      </c>
      <c r="J38" s="229">
        <f t="shared" si="3"/>
        <v>0</v>
      </c>
    </row>
    <row r="39" spans="1:10" x14ac:dyDescent="0.3">
      <c r="A39" t="s">
        <v>152</v>
      </c>
      <c r="D39" s="228" t="s">
        <v>155</v>
      </c>
      <c r="E39" s="229">
        <v>0</v>
      </c>
      <c r="F39" s="229">
        <v>0</v>
      </c>
      <c r="G39" s="229">
        <v>0</v>
      </c>
      <c r="H39" s="229">
        <v>0</v>
      </c>
      <c r="I39" s="229">
        <v>0</v>
      </c>
      <c r="J39" s="229">
        <v>0</v>
      </c>
    </row>
    <row r="40" spans="1:10" x14ac:dyDescent="0.3">
      <c r="A40" t="s">
        <v>152</v>
      </c>
      <c r="D40" s="228" t="s">
        <v>155</v>
      </c>
      <c r="E40" s="229">
        <v>0</v>
      </c>
      <c r="F40" s="229">
        <v>0</v>
      </c>
      <c r="G40" s="229">
        <v>0</v>
      </c>
      <c r="H40" s="229">
        <v>0</v>
      </c>
      <c r="I40" s="229">
        <v>0</v>
      </c>
      <c r="J40" s="229">
        <v>0</v>
      </c>
    </row>
    <row r="41" spans="1:10" x14ac:dyDescent="0.3">
      <c r="E41" s="231">
        <f t="shared" ref="E41:J41" si="4">SUM(E3:E40)</f>
        <v>0</v>
      </c>
      <c r="F41" s="231">
        <f t="shared" si="4"/>
        <v>0</v>
      </c>
      <c r="G41" s="231">
        <f t="shared" si="4"/>
        <v>0</v>
      </c>
      <c r="H41" s="231">
        <f t="shared" si="4"/>
        <v>0</v>
      </c>
      <c r="I41" s="231">
        <f t="shared" si="4"/>
        <v>0</v>
      </c>
      <c r="J41" s="231">
        <f t="shared" si="4"/>
        <v>0</v>
      </c>
    </row>
  </sheetData>
  <hyperlinks>
    <hyperlink ref="D1" r:id="rId1" xr:uid="{6C63AC4D-2B84-4724-AB0F-B866A041A41D}"/>
  </hyperlinks>
  <pageMargins left="0.7" right="0.7" top="0.75" bottom="0.75" header="0.3" footer="0.3"/>
  <pageSetup orientation="portrait"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2"/>
  <sheetViews>
    <sheetView showWhiteSpace="0" topLeftCell="A19" zoomScaleNormal="100" workbookViewId="0">
      <selection activeCell="F20" sqref="F20"/>
    </sheetView>
  </sheetViews>
  <sheetFormatPr defaultRowHeight="14.4" x14ac:dyDescent="0.3"/>
  <cols>
    <col min="4" max="4" width="11" customWidth="1"/>
  </cols>
  <sheetData>
    <row r="1" spans="1:13" ht="18" x14ac:dyDescent="0.3">
      <c r="A1" s="234" t="s">
        <v>160</v>
      </c>
    </row>
    <row r="3" spans="1:13" x14ac:dyDescent="0.3">
      <c r="A3" s="357" t="s">
        <v>246</v>
      </c>
      <c r="B3" s="357"/>
      <c r="C3" s="357"/>
      <c r="D3" s="357"/>
      <c r="E3" s="357"/>
      <c r="F3" s="357"/>
      <c r="G3" s="357"/>
      <c r="H3" s="357"/>
      <c r="I3" s="357"/>
      <c r="J3" s="357"/>
      <c r="K3" s="357"/>
      <c r="L3" s="357"/>
      <c r="M3" s="357"/>
    </row>
    <row r="4" spans="1:13" x14ac:dyDescent="0.3">
      <c r="A4" s="357"/>
      <c r="B4" s="357"/>
      <c r="C4" s="357"/>
      <c r="D4" s="357"/>
      <c r="E4" s="357"/>
      <c r="F4" s="357"/>
      <c r="G4" s="357"/>
      <c r="H4" s="357"/>
      <c r="I4" s="357"/>
      <c r="J4" s="357"/>
      <c r="K4" s="357"/>
      <c r="L4" s="357"/>
      <c r="M4" s="357"/>
    </row>
    <row r="5" spans="1:13" x14ac:dyDescent="0.3">
      <c r="A5" s="357"/>
      <c r="B5" s="357"/>
      <c r="C5" s="357"/>
      <c r="D5" s="357"/>
      <c r="E5" s="357"/>
      <c r="F5" s="357"/>
      <c r="G5" s="357"/>
      <c r="H5" s="357"/>
      <c r="I5" s="357"/>
      <c r="J5" s="357"/>
      <c r="K5" s="357"/>
      <c r="L5" s="357"/>
      <c r="M5" s="357"/>
    </row>
    <row r="6" spans="1:13" ht="8.25" customHeight="1" x14ac:dyDescent="0.3">
      <c r="A6" s="243"/>
      <c r="B6" s="243"/>
      <c r="C6" s="243"/>
      <c r="D6" s="243"/>
      <c r="E6" s="243"/>
      <c r="F6" s="243"/>
      <c r="G6" s="243"/>
      <c r="H6" s="243"/>
      <c r="I6" s="243"/>
      <c r="J6" s="243"/>
      <c r="K6" s="243"/>
      <c r="L6" s="243"/>
      <c r="M6" s="243"/>
    </row>
    <row r="7" spans="1:13" x14ac:dyDescent="0.3">
      <c r="A7" s="357" t="s">
        <v>247</v>
      </c>
      <c r="B7" s="357"/>
      <c r="C7" s="357"/>
      <c r="D7" s="357"/>
      <c r="E7" s="357"/>
      <c r="F7" s="357"/>
      <c r="G7" s="357"/>
      <c r="H7" s="357"/>
      <c r="I7" s="357"/>
      <c r="J7" s="357"/>
      <c r="K7" s="357"/>
      <c r="L7" s="357"/>
      <c r="M7" s="357"/>
    </row>
    <row r="8" spans="1:13" x14ac:dyDescent="0.3">
      <c r="A8" s="357"/>
      <c r="B8" s="357"/>
      <c r="C8" s="357"/>
      <c r="D8" s="357"/>
      <c r="E8" s="357"/>
      <c r="F8" s="357"/>
      <c r="G8" s="357"/>
      <c r="H8" s="357"/>
      <c r="I8" s="357"/>
      <c r="J8" s="357"/>
      <c r="K8" s="357"/>
      <c r="L8" s="357"/>
      <c r="M8" s="357"/>
    </row>
    <row r="9" spans="1:13" ht="8.25" customHeight="1" x14ac:dyDescent="0.3">
      <c r="A9" s="243"/>
      <c r="B9" s="243"/>
      <c r="C9" s="243"/>
      <c r="D9" s="243"/>
      <c r="E9" s="243"/>
      <c r="F9" s="243"/>
      <c r="G9" s="243"/>
      <c r="H9" s="243"/>
      <c r="I9" s="243"/>
      <c r="J9" s="243"/>
      <c r="K9" s="243"/>
      <c r="L9" s="243"/>
      <c r="M9" s="243"/>
    </row>
    <row r="10" spans="1:13" x14ac:dyDescent="0.3">
      <c r="A10" s="357" t="s">
        <v>248</v>
      </c>
      <c r="B10" s="357"/>
      <c r="C10" s="357"/>
      <c r="D10" s="357"/>
      <c r="E10" s="357"/>
      <c r="F10" s="357"/>
      <c r="G10" s="357"/>
      <c r="H10" s="357"/>
      <c r="I10" s="357"/>
      <c r="J10" s="357"/>
      <c r="K10" s="357"/>
      <c r="L10" s="357"/>
      <c r="M10" s="357"/>
    </row>
    <row r="11" spans="1:13" x14ac:dyDescent="0.3">
      <c r="A11" s="357"/>
      <c r="B11" s="357"/>
      <c r="C11" s="357"/>
      <c r="D11" s="357"/>
      <c r="E11" s="357"/>
      <c r="F11" s="357"/>
      <c r="G11" s="357"/>
      <c r="H11" s="357"/>
      <c r="I11" s="357"/>
      <c r="J11" s="357"/>
      <c r="K11" s="357"/>
      <c r="L11" s="357"/>
      <c r="M11" s="357"/>
    </row>
    <row r="12" spans="1:13" ht="8.25" customHeight="1" x14ac:dyDescent="0.3">
      <c r="A12" s="243"/>
      <c r="B12" s="243"/>
      <c r="C12" s="243"/>
      <c r="D12" s="243"/>
      <c r="E12" s="243"/>
      <c r="F12" s="243"/>
      <c r="G12" s="243"/>
      <c r="H12" s="243"/>
      <c r="I12" s="243"/>
      <c r="J12" s="243"/>
      <c r="K12" s="243"/>
      <c r="L12" s="243"/>
      <c r="M12" s="243"/>
    </row>
    <row r="13" spans="1:13" ht="15" customHeight="1" x14ac:dyDescent="0.3">
      <c r="A13" s="357" t="s">
        <v>249</v>
      </c>
      <c r="B13" s="357"/>
      <c r="C13" s="357"/>
      <c r="D13" s="357"/>
      <c r="E13" s="357"/>
      <c r="F13" s="357"/>
      <c r="G13" s="357"/>
      <c r="H13" s="357"/>
      <c r="I13" s="357"/>
      <c r="J13" s="357"/>
      <c r="K13" s="357"/>
      <c r="L13" s="357"/>
      <c r="M13" s="357"/>
    </row>
    <row r="14" spans="1:13" x14ac:dyDescent="0.3">
      <c r="A14" s="357"/>
      <c r="B14" s="357"/>
      <c r="C14" s="357"/>
      <c r="D14" s="357"/>
      <c r="E14" s="357"/>
      <c r="F14" s="357"/>
      <c r="G14" s="357"/>
      <c r="H14" s="357"/>
      <c r="I14" s="357"/>
      <c r="J14" s="357"/>
      <c r="K14" s="357"/>
      <c r="L14" s="357"/>
      <c r="M14" s="357"/>
    </row>
    <row r="15" spans="1:13" x14ac:dyDescent="0.3">
      <c r="A15" s="357"/>
      <c r="B15" s="357"/>
      <c r="C15" s="357"/>
      <c r="D15" s="357"/>
      <c r="E15" s="357"/>
      <c r="F15" s="357"/>
      <c r="G15" s="357"/>
      <c r="H15" s="357"/>
      <c r="I15" s="357"/>
      <c r="J15" s="357"/>
      <c r="K15" s="357"/>
      <c r="L15" s="357"/>
      <c r="M15" s="357"/>
    </row>
    <row r="16" spans="1:13" x14ac:dyDescent="0.3">
      <c r="A16" s="357"/>
      <c r="B16" s="357"/>
      <c r="C16" s="357"/>
      <c r="D16" s="357"/>
      <c r="E16" s="357"/>
      <c r="F16" s="357"/>
      <c r="G16" s="357"/>
      <c r="H16" s="357"/>
      <c r="I16" s="357"/>
      <c r="J16" s="357"/>
      <c r="K16" s="357"/>
      <c r="L16" s="357"/>
      <c r="M16" s="357"/>
    </row>
    <row r="17" spans="1:13" ht="8.25" customHeight="1" x14ac:dyDescent="0.3">
      <c r="A17" s="233"/>
      <c r="B17" s="241"/>
      <c r="C17" s="241"/>
      <c r="D17" s="241"/>
      <c r="E17" s="241"/>
      <c r="F17" s="241"/>
      <c r="G17" s="241"/>
      <c r="H17" s="241"/>
      <c r="I17" s="241"/>
      <c r="J17" s="241"/>
      <c r="K17" s="241"/>
      <c r="L17" s="241"/>
      <c r="M17" s="241"/>
    </row>
    <row r="18" spans="1:13" ht="15" customHeight="1" x14ac:dyDescent="0.3">
      <c r="A18" s="357" t="s">
        <v>250</v>
      </c>
      <c r="B18" s="357"/>
      <c r="C18" s="357"/>
      <c r="D18" s="357"/>
      <c r="E18" s="357"/>
      <c r="F18" s="357"/>
      <c r="G18" s="357"/>
      <c r="H18" s="357"/>
      <c r="I18" s="357"/>
      <c r="J18" s="357"/>
      <c r="K18" s="357"/>
      <c r="L18" s="357"/>
      <c r="M18" s="357"/>
    </row>
    <row r="19" spans="1:13" x14ac:dyDescent="0.3">
      <c r="A19" s="357"/>
      <c r="B19" s="357"/>
      <c r="C19" s="357"/>
      <c r="D19" s="357"/>
      <c r="E19" s="357"/>
      <c r="F19" s="357"/>
      <c r="G19" s="357"/>
      <c r="H19" s="357"/>
      <c r="I19" s="357"/>
      <c r="J19" s="357"/>
      <c r="K19" s="357"/>
      <c r="L19" s="357"/>
      <c r="M19" s="357"/>
    </row>
    <row r="20" spans="1:13" x14ac:dyDescent="0.3">
      <c r="A20" s="242"/>
      <c r="B20" s="242"/>
      <c r="C20" s="242"/>
      <c r="D20" s="242"/>
      <c r="E20" s="242"/>
      <c r="F20" s="242"/>
      <c r="G20" s="242"/>
      <c r="H20" s="242"/>
      <c r="I20" s="242"/>
      <c r="J20" s="242"/>
      <c r="K20" s="242"/>
      <c r="L20" s="242"/>
      <c r="M20" s="242"/>
    </row>
    <row r="21" spans="1:13" ht="15.6" x14ac:dyDescent="0.3">
      <c r="A21" s="235" t="s">
        <v>156</v>
      </c>
    </row>
    <row r="22" spans="1:13" x14ac:dyDescent="0.3">
      <c r="A22" t="s">
        <v>251</v>
      </c>
    </row>
    <row r="23" spans="1:13" x14ac:dyDescent="0.3">
      <c r="A23" s="236"/>
    </row>
    <row r="24" spans="1:13" x14ac:dyDescent="0.3">
      <c r="A24" s="236" t="s">
        <v>252</v>
      </c>
    </row>
    <row r="25" spans="1:13" x14ac:dyDescent="0.3">
      <c r="A25" s="236" t="s">
        <v>253</v>
      </c>
    </row>
    <row r="26" spans="1:13" ht="15" customHeight="1" x14ac:dyDescent="0.3">
      <c r="A26" s="357" t="s">
        <v>254</v>
      </c>
      <c r="B26" s="357"/>
      <c r="C26" s="357"/>
      <c r="D26" s="357"/>
      <c r="E26" s="357"/>
      <c r="F26" s="357"/>
      <c r="G26" s="357"/>
      <c r="H26" s="357"/>
      <c r="I26" s="357"/>
      <c r="J26" s="357"/>
      <c r="K26" s="357"/>
      <c r="L26" s="357"/>
      <c r="M26" s="357"/>
    </row>
    <row r="27" spans="1:13" ht="4.95" customHeight="1" x14ac:dyDescent="0.3">
      <c r="A27" s="357"/>
      <c r="B27" s="357"/>
      <c r="C27" s="357"/>
      <c r="D27" s="357"/>
      <c r="E27" s="357"/>
      <c r="F27" s="357"/>
      <c r="G27" s="357"/>
      <c r="H27" s="357"/>
      <c r="I27" s="357"/>
      <c r="J27" s="357"/>
      <c r="K27" s="357"/>
      <c r="L27" s="357"/>
      <c r="M27" s="357"/>
    </row>
    <row r="28" spans="1:13" x14ac:dyDescent="0.3">
      <c r="A28" s="357" t="s">
        <v>255</v>
      </c>
      <c r="B28" s="357"/>
      <c r="C28" s="357"/>
      <c r="D28" s="357"/>
      <c r="E28" s="357"/>
      <c r="F28" s="357"/>
      <c r="G28" s="357"/>
      <c r="H28" s="357"/>
      <c r="I28" s="357"/>
      <c r="J28" s="357"/>
      <c r="K28" s="357"/>
      <c r="L28" s="357"/>
      <c r="M28" s="357"/>
    </row>
    <row r="29" spans="1:13" x14ac:dyDescent="0.3">
      <c r="A29" s="357"/>
      <c r="B29" s="357"/>
      <c r="C29" s="357"/>
      <c r="D29" s="357"/>
      <c r="E29" s="357"/>
      <c r="F29" s="357"/>
      <c r="G29" s="357"/>
      <c r="H29" s="357"/>
      <c r="I29" s="357"/>
      <c r="J29" s="357"/>
      <c r="K29" s="357"/>
      <c r="L29" s="357"/>
      <c r="M29" s="357"/>
    </row>
    <row r="30" spans="1:13" x14ac:dyDescent="0.3">
      <c r="A30" s="357" t="s">
        <v>161</v>
      </c>
      <c r="B30" s="357"/>
      <c r="C30" s="357"/>
      <c r="D30" s="357"/>
      <c r="E30" s="357"/>
      <c r="F30" s="357"/>
      <c r="G30" s="357"/>
      <c r="H30" s="357"/>
      <c r="I30" s="357"/>
      <c r="J30" s="357"/>
      <c r="K30" s="357"/>
      <c r="L30" s="357"/>
      <c r="M30" s="357"/>
    </row>
    <row r="31" spans="1:13" x14ac:dyDescent="0.3">
      <c r="A31" s="357"/>
      <c r="B31" s="357"/>
      <c r="C31" s="357"/>
      <c r="D31" s="357"/>
      <c r="E31" s="357"/>
      <c r="F31" s="357"/>
      <c r="G31" s="357"/>
      <c r="H31" s="357"/>
      <c r="I31" s="357"/>
      <c r="J31" s="357"/>
      <c r="K31" s="357"/>
      <c r="L31" s="357"/>
      <c r="M31" s="357"/>
    </row>
    <row r="32" spans="1:13" x14ac:dyDescent="0.3">
      <c r="A32" s="253" t="s">
        <v>256</v>
      </c>
      <c r="B32" s="19"/>
      <c r="C32" s="19"/>
      <c r="D32" s="19"/>
      <c r="E32" s="19"/>
      <c r="F32" s="19"/>
      <c r="G32" s="19"/>
    </row>
    <row r="33" spans="1:13" x14ac:dyDescent="0.3">
      <c r="A33" s="237" t="s">
        <v>257</v>
      </c>
    </row>
    <row r="34" spans="1:13" ht="15" thickBot="1" x14ac:dyDescent="0.35"/>
    <row r="35" spans="1:13" ht="58.8" thickTop="1" thickBot="1" x14ac:dyDescent="0.35">
      <c r="A35" s="358"/>
      <c r="B35" s="244" t="s">
        <v>157</v>
      </c>
      <c r="C35" s="238" t="s">
        <v>65</v>
      </c>
      <c r="D35" s="247" t="str">
        <f>"Final Rate"</f>
        <v>Final Rate</v>
      </c>
      <c r="F35" s="295" t="s">
        <v>259</v>
      </c>
      <c r="G35" s="295"/>
      <c r="H35" s="295"/>
    </row>
    <row r="36" spans="1:13" ht="15" thickBot="1" x14ac:dyDescent="0.35">
      <c r="A36" s="359"/>
      <c r="B36" s="245" t="s">
        <v>158</v>
      </c>
      <c r="C36" s="239">
        <v>274215</v>
      </c>
      <c r="D36" s="240">
        <v>0.53249999999999997</v>
      </c>
    </row>
    <row r="37" spans="1:13" ht="15" thickTop="1" x14ac:dyDescent="0.3"/>
    <row r="38" spans="1:13" ht="15.6" x14ac:dyDescent="0.3">
      <c r="A38" s="235" t="s">
        <v>159</v>
      </c>
    </row>
    <row r="39" spans="1:13" ht="15" customHeight="1" x14ac:dyDescent="0.3">
      <c r="A39" s="357" t="s">
        <v>258</v>
      </c>
      <c r="B39" s="357"/>
      <c r="C39" s="357"/>
      <c r="D39" s="357"/>
      <c r="E39" s="357"/>
      <c r="F39" s="357"/>
      <c r="G39" s="357"/>
      <c r="H39" s="357"/>
      <c r="I39" s="357"/>
      <c r="J39" s="357"/>
      <c r="K39" s="357"/>
      <c r="L39" s="357"/>
      <c r="M39" s="357"/>
    </row>
    <row r="40" spans="1:13" x14ac:dyDescent="0.3">
      <c r="A40" s="357"/>
      <c r="B40" s="357"/>
      <c r="C40" s="357"/>
      <c r="D40" s="357"/>
      <c r="E40" s="357"/>
      <c r="F40" s="357"/>
      <c r="G40" s="357"/>
      <c r="H40" s="357"/>
      <c r="I40" s="357"/>
      <c r="J40" s="357"/>
      <c r="K40" s="357"/>
      <c r="L40" s="357"/>
      <c r="M40" s="357"/>
    </row>
    <row r="41" spans="1:13" x14ac:dyDescent="0.3">
      <c r="A41" s="357"/>
      <c r="B41" s="357"/>
      <c r="C41" s="357"/>
      <c r="D41" s="357"/>
      <c r="E41" s="357"/>
      <c r="F41" s="357"/>
      <c r="G41" s="357"/>
      <c r="H41" s="357"/>
      <c r="I41" s="357"/>
      <c r="J41" s="357"/>
      <c r="K41" s="357"/>
      <c r="L41" s="357"/>
      <c r="M41" s="357"/>
    </row>
    <row r="42" spans="1:13" x14ac:dyDescent="0.3">
      <c r="A42" s="242"/>
      <c r="B42" s="242"/>
      <c r="C42" s="242"/>
      <c r="D42" s="242"/>
      <c r="E42" s="242"/>
      <c r="F42" s="242"/>
      <c r="G42" s="242"/>
      <c r="H42" s="242"/>
      <c r="I42" s="242"/>
      <c r="J42" s="242"/>
      <c r="K42" s="242"/>
      <c r="L42" s="242"/>
      <c r="M42" s="242"/>
    </row>
  </sheetData>
  <mergeCells count="10">
    <mergeCell ref="A3:M5"/>
    <mergeCell ref="A7:M8"/>
    <mergeCell ref="A10:M11"/>
    <mergeCell ref="A13:M16"/>
    <mergeCell ref="A18:M19"/>
    <mergeCell ref="A28:M29"/>
    <mergeCell ref="A30:M31"/>
    <mergeCell ref="A39:M41"/>
    <mergeCell ref="A26:M27"/>
    <mergeCell ref="A35:A36"/>
  </mergeCells>
  <pageMargins left="0.7" right="0.7" top="0.75" bottom="0.75" header="0.3" footer="0.3"/>
  <pageSetup scale="75" orientation="landscape" r:id="rId1"/>
  <headerFooter>
    <oddFooter>&amp;LOriginal templated developed by Michigan State University</oddFoot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1FC0-4502-4ACF-A243-062287FCF3FA}">
  <dimension ref="A1:H24"/>
  <sheetViews>
    <sheetView workbookViewId="0">
      <selection activeCell="H25" sqref="H25"/>
    </sheetView>
  </sheetViews>
  <sheetFormatPr defaultRowHeight="14.4" x14ac:dyDescent="0.3"/>
  <cols>
    <col min="1" max="1" width="24.6640625" customWidth="1"/>
    <col min="2" max="2" width="14.6640625" customWidth="1"/>
    <col min="3" max="3" width="14" customWidth="1"/>
    <col min="4" max="4" width="15.33203125" customWidth="1"/>
    <col min="5" max="5" width="92.6640625" customWidth="1"/>
    <col min="6" max="6" width="11.33203125" customWidth="1"/>
  </cols>
  <sheetData>
    <row r="1" spans="1:8" x14ac:dyDescent="0.3">
      <c r="A1" t="s">
        <v>213</v>
      </c>
    </row>
    <row r="2" spans="1:8" x14ac:dyDescent="0.3">
      <c r="A2" t="str">
        <f>"Effective 7/1/"&amp;+[1]FICA!F1</f>
        <v>Effective 7/1/2019</v>
      </c>
    </row>
    <row r="4" spans="1:8" x14ac:dyDescent="0.3">
      <c r="A4" t="s">
        <v>214</v>
      </c>
    </row>
    <row r="5" spans="1:8" x14ac:dyDescent="0.3">
      <c r="A5" t="s">
        <v>215</v>
      </c>
    </row>
    <row r="6" spans="1:8" x14ac:dyDescent="0.3">
      <c r="A6" t="s">
        <v>262</v>
      </c>
    </row>
    <row r="8" spans="1:8" x14ac:dyDescent="0.3">
      <c r="B8" t="s">
        <v>216</v>
      </c>
    </row>
    <row r="9" spans="1:8" x14ac:dyDescent="0.3">
      <c r="B9">
        <v>0.03</v>
      </c>
    </row>
    <row r="10" spans="1:8" ht="47.4" customHeight="1" x14ac:dyDescent="0.3">
      <c r="A10" t="s">
        <v>217</v>
      </c>
      <c r="B10" s="242" t="s">
        <v>218</v>
      </c>
      <c r="C10" s="242" t="s">
        <v>219</v>
      </c>
      <c r="D10" s="242" t="s">
        <v>220</v>
      </c>
      <c r="E10" s="242" t="s">
        <v>221</v>
      </c>
      <c r="F10" s="242" t="s">
        <v>222</v>
      </c>
      <c r="G10" s="242" t="s">
        <v>223</v>
      </c>
      <c r="H10" s="242" t="s">
        <v>224</v>
      </c>
    </row>
    <row r="11" spans="1:8" x14ac:dyDescent="0.3">
      <c r="A11" t="str">
        <f>+[1]FICA!A11</f>
        <v>7/1/2019 -  6/30/2020</v>
      </c>
      <c r="B11">
        <v>63500</v>
      </c>
      <c r="C11">
        <f>IF(B11&gt;+[1]FICA!B11,+[1]FICA!C11+ROUND(B11*0.0145,0),ROUND(0.0765*B11,0))+ROUND(B11*(0.1+[1]FICA!F9),0)+G11</f>
        <v>27577</v>
      </c>
      <c r="D11">
        <f>ROUND(C11/B11,4)</f>
        <v>0.43430000000000002</v>
      </c>
      <c r="E11" t="str">
        <f>"FICA 6.2% of " &amp; DOLLAR(+[1]FICA!B11,0) &amp; ", Medicare @ 1.45%, Retirement @ 10%, Other costs @ " &amp; +[1]FICA!F9*100 &amp; "%, Health, Drugs &amp; Dental"</f>
        <v>FICA 6.2% of $135,226, Medicare @ 1.45%, Retirement @ 10%, Other costs @ 1.4%, Health, Drugs &amp; Dental</v>
      </c>
      <c r="G11">
        <f>+[1]Rates!B3</f>
        <v>15480</v>
      </c>
      <c r="H11">
        <f>+[1]Rates!C3</f>
        <v>3544</v>
      </c>
    </row>
    <row r="12" spans="1:8" x14ac:dyDescent="0.3">
      <c r="A12" t="str">
        <f>+[1]FICA!A12</f>
        <v>7/1/2020 - 6/30/2021</v>
      </c>
      <c r="B12">
        <f t="shared" ref="B12:B19" si="0">ROUND(B11*(1+$B$9),0)</f>
        <v>65405</v>
      </c>
      <c r="C12">
        <f>IF(B12&gt;+[1]FICA!B12,+[1]FICA!C12+ROUND(B12*0.0145,0),ROUND(0.0765*B12,0))+ROUND(B12*(0.1+[1]FICA!F9),0)+G12</f>
        <v>28713</v>
      </c>
      <c r="D12">
        <f t="shared" ref="D12:D19" si="1">ROUND(C12/B12,4)</f>
        <v>0.439</v>
      </c>
      <c r="E12" t="str">
        <f>"FICA 6.2% of " &amp; DOLLAR(+[1]FICA!B12,0) &amp; ", Medicare @ 1.45%, Retirement @ 10%, Other costs @ " &amp; +[1]FICA!F9*100 &amp; "%, Health, Drugs &amp; Dental"</f>
        <v>FICA 6.2% of $139,959, Medicare @ 1.45%, Retirement @ 10%, Other costs @ 1.4%, Health, Drugs &amp; Dental</v>
      </c>
      <c r="F12">
        <f>+[1]Rates!E4</f>
        <v>0.05</v>
      </c>
      <c r="G12">
        <f>ROUND(G11*(1+F12),0)</f>
        <v>16254</v>
      </c>
      <c r="H12">
        <f t="shared" ref="H12:H19" si="2">ROUND(H11*(1+F12),0)</f>
        <v>3721</v>
      </c>
    </row>
    <row r="13" spans="1:8" x14ac:dyDescent="0.3">
      <c r="A13" t="str">
        <f>+[1]FICA!A13</f>
        <v>7/1/2021 - 6/30/2022</v>
      </c>
      <c r="B13">
        <f t="shared" si="0"/>
        <v>67367</v>
      </c>
      <c r="C13">
        <f>IF(B13&gt;+[1]FICA!B13,+[1]FICA!C13+ROUND(B13*0.0145,0),ROUND(0.0765*B13,0))+ROUND(B13*(0.1+[1]FICA!F9),0)+G13</f>
        <v>29901</v>
      </c>
      <c r="D13">
        <f t="shared" si="1"/>
        <v>0.44390000000000002</v>
      </c>
      <c r="E13" t="str">
        <f>"FICA 6.2% of " &amp; DOLLAR(+[1]FICA!B13,0) &amp; ", Medicare @ 1.45%, Retirement @ 10%, Other costs @ " &amp; +[1]FICA!F9*100 &amp; "%, Health, Drugs &amp; Dental"</f>
        <v>FICA 6.2% of $144,858, Medicare @ 1.45%, Retirement @ 10%, Other costs @ 1.4%, Health, Drugs &amp; Dental</v>
      </c>
      <c r="F13">
        <f>+[1]Rates!E5</f>
        <v>0.05</v>
      </c>
      <c r="G13">
        <f t="shared" ref="G13:G19" si="3">ROUND(G12*(1+F13),0)</f>
        <v>17067</v>
      </c>
      <c r="H13">
        <f t="shared" si="2"/>
        <v>3907</v>
      </c>
    </row>
    <row r="14" spans="1:8" x14ac:dyDescent="0.3">
      <c r="A14" t="str">
        <f>+[1]FICA!A14</f>
        <v>7/1/2022 - 6/30/2023</v>
      </c>
      <c r="B14">
        <f t="shared" si="0"/>
        <v>69388</v>
      </c>
      <c r="C14">
        <f>IF(B14&gt;+[1]FICA!B14,+[1]FICA!C14+ROUND(B14*0.0145,0),ROUND(0.0765*B14,0))+ROUND(B14*(0.1+[1]FICA!F9),0)+G14</f>
        <v>31138</v>
      </c>
      <c r="D14">
        <f t="shared" si="1"/>
        <v>0.44879999999999998</v>
      </c>
      <c r="E14" t="str">
        <f>"FICA 6.2% of " &amp; DOLLAR(+[1]FICA!B14,0) &amp; ", Medicare @ 1.45%, Retirement @ 10%, Other costs @ " &amp; +[1]FICA!F9*100 &amp; "%, Health, Drugs &amp; Dental"</f>
        <v>FICA 6.2% of $149,928, Medicare @ 1.45%, Retirement @ 10%, Other costs @ 1.4%, Health, Drugs &amp; Dental</v>
      </c>
      <c r="F14">
        <f>+[1]Rates!E6</f>
        <v>0.05</v>
      </c>
      <c r="G14">
        <f t="shared" si="3"/>
        <v>17920</v>
      </c>
      <c r="H14">
        <f t="shared" si="2"/>
        <v>4102</v>
      </c>
    </row>
    <row r="15" spans="1:8" x14ac:dyDescent="0.3">
      <c r="A15" t="str">
        <f>+[1]FICA!A15</f>
        <v>7/1/2023 - 6/30/2024</v>
      </c>
      <c r="B15">
        <f t="shared" si="0"/>
        <v>71470</v>
      </c>
      <c r="C15">
        <f>IF(B15&gt;+[1]FICA!B15,+[1]FICA!C15+ROUND(B15*0.0145,0),ROUND(0.0765*B15,0))+ROUND(B15*(0.1+[1]FICA!F9),0)+G15</f>
        <v>32431</v>
      </c>
      <c r="D15">
        <f t="shared" si="1"/>
        <v>0.45379999999999998</v>
      </c>
      <c r="E15" t="str">
        <f>"FICA 6.2% of " &amp; DOLLAR(+[1]FICA!B15,0) &amp; ", Medicare @ 1.45%, Retirement @ 10%, Other costs @ " &amp; +[1]FICA!F9*100 &amp; "%, Health, Drugs &amp; Dental"</f>
        <v>FICA 6.2% of $155,175, Medicare @ 1.45%, Retirement @ 10%, Other costs @ 1.4%, Health, Drugs &amp; Dental</v>
      </c>
      <c r="F15">
        <f>+[1]Rates!E7</f>
        <v>0.05</v>
      </c>
      <c r="G15">
        <f t="shared" si="3"/>
        <v>18816</v>
      </c>
      <c r="H15">
        <f t="shared" si="2"/>
        <v>4307</v>
      </c>
    </row>
    <row r="16" spans="1:8" x14ac:dyDescent="0.3">
      <c r="A16" t="str">
        <f>+[1]FICA!A16</f>
        <v>7/1/2024 - 6/30/2025</v>
      </c>
      <c r="B16">
        <f t="shared" si="0"/>
        <v>73614</v>
      </c>
      <c r="C16">
        <f>IF(B16&gt;+[1]FICA!B16,+[1]FICA!C16+ROUND(B16*0.0145,0),ROUND(0.0765*B16,0))+ROUND(B16*(0.1+[1]FICA!F9),0)+G16</f>
        <v>33780</v>
      </c>
      <c r="D16">
        <f t="shared" si="1"/>
        <v>0.45889999999999997</v>
      </c>
      <c r="E16" t="str">
        <f>"FICA 6.2% of " &amp; DOLLAR(+[1]FICA!B16,0) &amp; ", Medicare @ 1.45%, Retirement @ 10%, Other costs @ " &amp; +[1]FICA!F9*100 &amp; "%, Health, Drugs &amp; Dental"</f>
        <v>FICA 6.2% of $160,606, Medicare @ 1.45%, Retirement @ 10%, Other costs @ 1.4%, Health, Drugs &amp; Dental</v>
      </c>
      <c r="F16">
        <f>+[1]Rates!E8</f>
        <v>0.05</v>
      </c>
      <c r="G16">
        <f t="shared" si="3"/>
        <v>19757</v>
      </c>
      <c r="H16">
        <f t="shared" si="2"/>
        <v>4522</v>
      </c>
    </row>
    <row r="17" spans="1:8" x14ac:dyDescent="0.3">
      <c r="A17" t="str">
        <f>+[1]FICA!A17</f>
        <v>7/1/2025 - 6/30/2026</v>
      </c>
      <c r="B17">
        <f t="shared" si="0"/>
        <v>75822</v>
      </c>
      <c r="C17">
        <f>IF(B17&gt;+[1]FICA!B17,+[1]FICA!C17+ROUND(B17*0.0145,0),ROUND(0.0765*B17,0))+ROUND(B17*(0.1+[1]FICA!F9),0)+G17</f>
        <v>35189</v>
      </c>
      <c r="D17">
        <f t="shared" si="1"/>
        <v>0.46410000000000001</v>
      </c>
      <c r="E17" t="str">
        <f>"FICA 6.2% of " &amp; DOLLAR(+[1]FICA!B17,0) &amp; ", Medicare @ 1.45%, Retirement @ 10%, Other costs @ " &amp; +[1]FICA!F9*100 &amp; "%, Health, Drugs &amp; Dental"</f>
        <v>FICA 6.2% of $166,227, Medicare @ 1.45%, Retirement @ 10%, Other costs @ 1.4%, Health, Drugs &amp; Dental</v>
      </c>
      <c r="F17">
        <f>+[1]Rates!E9</f>
        <v>0.05</v>
      </c>
      <c r="G17">
        <f t="shared" si="3"/>
        <v>20745</v>
      </c>
      <c r="H17">
        <f t="shared" si="2"/>
        <v>4748</v>
      </c>
    </row>
    <row r="18" spans="1:8" x14ac:dyDescent="0.3">
      <c r="A18" t="str">
        <f>+[1]FICA!A18</f>
        <v>7/1/2026 - 6/30/2027</v>
      </c>
      <c r="B18">
        <f t="shared" si="0"/>
        <v>78097</v>
      </c>
      <c r="C18">
        <f>IF(B18&gt;+[1]FICA!B18,+[1]FICA!C18+ROUND(B18*0.0145,0),ROUND(0.0765*B18,0))+ROUND(B18*(0.1+[1]FICA!F9),0)+G18</f>
        <v>36659</v>
      </c>
      <c r="D18">
        <f t="shared" si="1"/>
        <v>0.46939999999999998</v>
      </c>
      <c r="E18" t="str">
        <f>"FICA 6.2% of " &amp; DOLLAR(+[1]FICA!B18,0) &amp; ", Medicare @ 1.45%, Retirement @ 10%, Other costs @ " &amp; +[1]FICA!F9*100 &amp; "%, Health, Drugs &amp; Dental"</f>
        <v>FICA 6.2% of $172,045, Medicare @ 1.45%, Retirement @ 10%, Other costs @ 1.4%, Health, Drugs &amp; Dental</v>
      </c>
      <c r="F18">
        <f>+[1]Rates!E10</f>
        <v>0.05</v>
      </c>
      <c r="G18">
        <f t="shared" si="3"/>
        <v>21782</v>
      </c>
      <c r="H18">
        <f t="shared" si="2"/>
        <v>4985</v>
      </c>
    </row>
    <row r="19" spans="1:8" x14ac:dyDescent="0.3">
      <c r="A19" t="str">
        <f>+[1]FICA!A19</f>
        <v>7/1/2027 - 6/30/2028</v>
      </c>
      <c r="B19">
        <f t="shared" si="0"/>
        <v>80440</v>
      </c>
      <c r="C19">
        <f>IF(B19&gt;+[1]FICA!B19,+[1]FICA!C19+ROUND(B19*0.0145,0),ROUND(0.0765*B19,0))+ROUND(B19*(0.1+[1]FICA!F9),0)+G19</f>
        <v>38195</v>
      </c>
      <c r="D19">
        <f t="shared" si="1"/>
        <v>0.4748</v>
      </c>
      <c r="E19" t="str">
        <f>"FICA 6.2% of " &amp; DOLLAR(+[1]FICA!B19,0) &amp; ", Medicare @ 1.45%, Retirement @ 10%, Other costs @ " &amp; +[1]FICA!F9*100 &amp; "%, Health, Drugs &amp; Dental"</f>
        <v>FICA 6.2% of $178,067, Medicare @ 1.45%, Retirement @ 10%, Other costs @ 1.4%, Health, Drugs &amp; Dental</v>
      </c>
      <c r="F19">
        <f>+[1]Rates!E11</f>
        <v>0.05</v>
      </c>
      <c r="G19">
        <f t="shared" si="3"/>
        <v>22871</v>
      </c>
      <c r="H19">
        <f t="shared" si="2"/>
        <v>5234</v>
      </c>
    </row>
    <row r="20" spans="1:8" x14ac:dyDescent="0.3">
      <c r="A20" t="s">
        <v>225</v>
      </c>
    </row>
    <row r="22" spans="1:8" x14ac:dyDescent="0.3">
      <c r="A22" t="str">
        <f>+[1]FICA!A25</f>
        <v>Revised 5/23/2019</v>
      </c>
      <c r="B22">
        <v>63500</v>
      </c>
    </row>
    <row r="24" spans="1:8" x14ac:dyDescent="0.3">
      <c r="A24" s="289" t="s">
        <v>226</v>
      </c>
    </row>
  </sheetData>
  <hyperlinks>
    <hyperlink ref="A24" r:id="rId1" xr:uid="{8DCA2C40-24A2-4AC1-AE59-11BF077C62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F9F"/>
  </sheetPr>
  <dimension ref="A2:I46"/>
  <sheetViews>
    <sheetView topLeftCell="A7" workbookViewId="0">
      <selection activeCell="P14" sqref="P14"/>
    </sheetView>
  </sheetViews>
  <sheetFormatPr defaultColWidth="9.109375" defaultRowHeight="13.8" x14ac:dyDescent="0.3"/>
  <cols>
    <col min="1" max="1" width="21" style="223" customWidth="1"/>
    <col min="2" max="2" width="12.44140625" style="223" customWidth="1"/>
    <col min="3" max="3" width="11.6640625" style="223" customWidth="1"/>
    <col min="4" max="4" width="11.33203125" style="223" customWidth="1"/>
    <col min="5" max="6" width="11.44140625" style="223" customWidth="1"/>
    <col min="7" max="16384" width="9.109375" style="223"/>
  </cols>
  <sheetData>
    <row r="2" spans="1:9" x14ac:dyDescent="0.3">
      <c r="A2" s="224" t="s">
        <v>212</v>
      </c>
      <c r="B2" s="225"/>
      <c r="C2" s="226"/>
      <c r="D2" s="226"/>
      <c r="E2" s="226"/>
      <c r="F2" s="226"/>
    </row>
    <row r="5" spans="1:9" ht="14.4" thickBot="1" x14ac:dyDescent="0.35"/>
    <row r="6" spans="1:9" ht="14.4" customHeight="1" thickBot="1" x14ac:dyDescent="0.35">
      <c r="A6" s="423" t="s">
        <v>167</v>
      </c>
      <c r="B6" s="424"/>
      <c r="C6" s="424"/>
      <c r="D6" s="424"/>
      <c r="E6" s="424"/>
      <c r="F6" s="424"/>
      <c r="G6" s="424"/>
      <c r="H6" s="424"/>
      <c r="I6" s="425"/>
    </row>
    <row r="7" spans="1:9" ht="14.4" customHeight="1" thickBot="1" x14ac:dyDescent="0.35">
      <c r="A7" s="423" t="s">
        <v>168</v>
      </c>
      <c r="B7" s="424"/>
      <c r="C7" s="424"/>
      <c r="D7" s="424"/>
      <c r="E7" s="424"/>
      <c r="F7" s="424"/>
      <c r="G7" s="424"/>
      <c r="H7" s="424"/>
      <c r="I7" s="425"/>
    </row>
    <row r="8" spans="1:9" ht="14.4" customHeight="1" thickBot="1" x14ac:dyDescent="0.35">
      <c r="A8" s="423" t="s">
        <v>169</v>
      </c>
      <c r="B8" s="424"/>
      <c r="C8" s="424"/>
      <c r="D8" s="424"/>
      <c r="E8" s="424"/>
      <c r="F8" s="424"/>
      <c r="G8" s="424"/>
      <c r="H8" s="424"/>
      <c r="I8" s="425"/>
    </row>
    <row r="9" spans="1:9" ht="14.4" thickBot="1" x14ac:dyDescent="0.35">
      <c r="A9" s="254"/>
      <c r="B9" s="255"/>
      <c r="C9" s="255"/>
      <c r="D9" s="255"/>
      <c r="E9" s="255"/>
      <c r="F9" s="369"/>
      <c r="G9" s="371"/>
      <c r="H9" s="369"/>
      <c r="I9" s="371"/>
    </row>
    <row r="10" spans="1:9" ht="14.4" thickBot="1" x14ac:dyDescent="0.35">
      <c r="A10" s="254"/>
      <c r="B10" s="256" t="s">
        <v>170</v>
      </c>
      <c r="C10" s="256" t="s">
        <v>171</v>
      </c>
      <c r="D10" s="256" t="s">
        <v>172</v>
      </c>
      <c r="E10" s="256" t="s">
        <v>173</v>
      </c>
      <c r="F10" s="421" t="s">
        <v>174</v>
      </c>
      <c r="G10" s="422"/>
      <c r="H10" s="421" t="s">
        <v>175</v>
      </c>
      <c r="I10" s="422"/>
    </row>
    <row r="11" spans="1:9" ht="15" thickTop="1" thickBot="1" x14ac:dyDescent="0.35">
      <c r="A11" s="257" t="s">
        <v>176</v>
      </c>
      <c r="B11" s="258"/>
      <c r="C11" s="258"/>
      <c r="D11" s="258"/>
      <c r="E11" s="258"/>
      <c r="F11" s="417"/>
      <c r="G11" s="418"/>
      <c r="H11" s="417"/>
      <c r="I11" s="418"/>
    </row>
    <row r="12" spans="1:9" ht="14.4" thickBot="1" x14ac:dyDescent="0.35">
      <c r="A12" s="259" t="s">
        <v>177</v>
      </c>
      <c r="B12" s="260">
        <v>1380</v>
      </c>
      <c r="C12" s="260">
        <v>1463</v>
      </c>
      <c r="D12" s="260">
        <v>1551</v>
      </c>
      <c r="E12" s="260">
        <v>1644</v>
      </c>
      <c r="F12" s="419">
        <v>1743</v>
      </c>
      <c r="G12" s="420"/>
      <c r="H12" s="419">
        <v>1848</v>
      </c>
      <c r="I12" s="420"/>
    </row>
    <row r="13" spans="1:9" ht="14.4" thickBot="1" x14ac:dyDescent="0.35">
      <c r="A13" s="259" t="s">
        <v>178</v>
      </c>
      <c r="B13" s="260">
        <v>1380</v>
      </c>
      <c r="C13" s="260">
        <v>1463</v>
      </c>
      <c r="D13" s="260">
        <v>1551</v>
      </c>
      <c r="E13" s="260">
        <v>1644</v>
      </c>
      <c r="F13" s="419">
        <v>1743</v>
      </c>
      <c r="G13" s="420"/>
      <c r="H13" s="419">
        <v>1848</v>
      </c>
      <c r="I13" s="420"/>
    </row>
    <row r="14" spans="1:9" ht="14.4" thickBot="1" x14ac:dyDescent="0.35">
      <c r="A14" s="259" t="s">
        <v>179</v>
      </c>
      <c r="B14" s="261" t="s">
        <v>180</v>
      </c>
      <c r="C14" s="261" t="s">
        <v>180</v>
      </c>
      <c r="D14" s="261" t="s">
        <v>180</v>
      </c>
      <c r="E14" s="261" t="s">
        <v>180</v>
      </c>
      <c r="F14" s="408" t="s">
        <v>180</v>
      </c>
      <c r="G14" s="409"/>
      <c r="H14" s="408" t="s">
        <v>180</v>
      </c>
      <c r="I14" s="409"/>
    </row>
    <row r="15" spans="1:9" ht="15" thickTop="1" thickBot="1" x14ac:dyDescent="0.35">
      <c r="A15" s="262" t="s">
        <v>181</v>
      </c>
      <c r="B15" s="263">
        <v>2760</v>
      </c>
      <c r="C15" s="263">
        <v>2926</v>
      </c>
      <c r="D15" s="263">
        <v>3102</v>
      </c>
      <c r="E15" s="263">
        <v>3288</v>
      </c>
      <c r="F15" s="410">
        <v>3486</v>
      </c>
      <c r="G15" s="411"/>
      <c r="H15" s="410">
        <v>3696</v>
      </c>
      <c r="I15" s="411"/>
    </row>
    <row r="16" spans="1:9" ht="14.4" thickBot="1" x14ac:dyDescent="0.35">
      <c r="A16" s="254"/>
      <c r="B16" s="255"/>
      <c r="C16" s="255"/>
      <c r="D16" s="255"/>
      <c r="E16" s="255"/>
      <c r="F16" s="369"/>
      <c r="G16" s="371"/>
      <c r="H16" s="369"/>
      <c r="I16" s="371"/>
    </row>
    <row r="17" spans="1:9" x14ac:dyDescent="0.3">
      <c r="A17" s="264"/>
      <c r="B17" s="416" t="s">
        <v>186</v>
      </c>
      <c r="C17" s="416"/>
      <c r="D17" s="416"/>
      <c r="E17" s="416"/>
      <c r="F17" s="416"/>
      <c r="G17" s="415"/>
      <c r="H17" s="415"/>
      <c r="I17" s="269"/>
    </row>
    <row r="18" spans="1:9" ht="15.6" x14ac:dyDescent="0.3">
      <c r="A18" s="265" t="s">
        <v>182</v>
      </c>
      <c r="B18" s="406"/>
      <c r="C18" s="406"/>
      <c r="D18" s="406"/>
      <c r="E18" s="406"/>
      <c r="F18" s="406"/>
      <c r="G18" s="412"/>
      <c r="H18" s="412"/>
      <c r="I18" s="269"/>
    </row>
    <row r="19" spans="1:9" x14ac:dyDescent="0.3">
      <c r="A19" s="266" t="s">
        <v>183</v>
      </c>
      <c r="B19" s="407" t="s">
        <v>187</v>
      </c>
      <c r="C19" s="407"/>
      <c r="D19" s="407"/>
      <c r="E19" s="407"/>
      <c r="F19" s="407"/>
      <c r="G19" s="413"/>
      <c r="H19" s="413"/>
      <c r="I19" s="270"/>
    </row>
    <row r="20" spans="1:9" x14ac:dyDescent="0.3">
      <c r="A20" s="265" t="s">
        <v>184</v>
      </c>
      <c r="B20" s="407" t="s">
        <v>187</v>
      </c>
      <c r="C20" s="407"/>
      <c r="D20" s="407"/>
      <c r="E20" s="407"/>
      <c r="F20" s="407"/>
      <c r="G20" s="414" t="s">
        <v>189</v>
      </c>
      <c r="H20" s="414"/>
      <c r="I20" s="271">
        <v>6354</v>
      </c>
    </row>
    <row r="21" spans="1:9" ht="16.8" x14ac:dyDescent="0.3">
      <c r="A21" s="267"/>
      <c r="B21" s="407" t="s">
        <v>188</v>
      </c>
      <c r="C21" s="407"/>
      <c r="D21" s="407"/>
      <c r="E21" s="407"/>
      <c r="F21" s="407"/>
      <c r="G21" s="414" t="s">
        <v>189</v>
      </c>
      <c r="H21" s="414"/>
      <c r="I21" s="271">
        <v>6354</v>
      </c>
    </row>
    <row r="22" spans="1:9" ht="15" thickBot="1" x14ac:dyDescent="0.35">
      <c r="A22" s="265" t="s">
        <v>185</v>
      </c>
      <c r="B22" s="405"/>
      <c r="C22" s="405"/>
      <c r="D22" s="405"/>
      <c r="E22" s="405"/>
      <c r="F22" s="405"/>
      <c r="G22" s="404" t="s">
        <v>190</v>
      </c>
      <c r="H22" s="404"/>
      <c r="I22" s="272">
        <v>2836</v>
      </c>
    </row>
    <row r="23" spans="1:9" ht="15.6" thickTop="1" thickBot="1" x14ac:dyDescent="0.35">
      <c r="A23" s="268"/>
      <c r="B23" s="402" t="s">
        <v>191</v>
      </c>
      <c r="C23" s="402"/>
      <c r="D23" s="402"/>
      <c r="E23" s="402"/>
      <c r="F23" s="402"/>
      <c r="G23" s="403" t="s">
        <v>192</v>
      </c>
      <c r="H23" s="403"/>
      <c r="I23" s="273">
        <v>15544</v>
      </c>
    </row>
    <row r="24" spans="1:9" ht="15" thickBot="1" x14ac:dyDescent="0.35">
      <c r="A24" s="268"/>
      <c r="B24" s="400" t="s">
        <v>193</v>
      </c>
      <c r="C24" s="400"/>
      <c r="D24" s="400"/>
      <c r="E24" s="400"/>
      <c r="F24" s="400"/>
      <c r="G24" s="401" t="s">
        <v>194</v>
      </c>
      <c r="H24" s="401"/>
      <c r="I24" s="274">
        <v>16404</v>
      </c>
    </row>
    <row r="25" spans="1:9" ht="15.6" thickTop="1" thickBot="1" x14ac:dyDescent="0.35">
      <c r="A25" s="268"/>
      <c r="B25" s="393"/>
      <c r="C25" s="393"/>
      <c r="D25" s="393"/>
      <c r="E25" s="393"/>
      <c r="F25" s="393"/>
      <c r="G25" s="393"/>
      <c r="H25" s="393"/>
      <c r="I25" s="394"/>
    </row>
    <row r="26" spans="1:9" ht="15" thickTop="1" thickBot="1" x14ac:dyDescent="0.35">
      <c r="A26" s="397" t="s">
        <v>195</v>
      </c>
      <c r="B26" s="398"/>
      <c r="C26" s="398"/>
      <c r="D26" s="398"/>
      <c r="E26" s="398"/>
      <c r="F26" s="398"/>
      <c r="G26" s="399" t="s">
        <v>196</v>
      </c>
      <c r="H26" s="399"/>
      <c r="I26" s="275">
        <v>19240</v>
      </c>
    </row>
    <row r="27" spans="1:9" ht="14.4" thickBot="1" x14ac:dyDescent="0.35">
      <c r="A27" s="276"/>
      <c r="B27" s="258"/>
      <c r="C27" s="258"/>
      <c r="D27" s="258"/>
      <c r="E27" s="258"/>
      <c r="F27" s="395"/>
      <c r="G27" s="396"/>
      <c r="H27" s="395"/>
      <c r="I27" s="396"/>
    </row>
    <row r="28" spans="1:9" x14ac:dyDescent="0.3">
      <c r="A28" s="277"/>
      <c r="B28" s="379" t="s">
        <v>197</v>
      </c>
      <c r="C28" s="379"/>
      <c r="D28" s="379"/>
      <c r="E28" s="379"/>
      <c r="F28" s="379"/>
      <c r="G28" s="386"/>
      <c r="H28" s="386"/>
      <c r="I28" s="282"/>
    </row>
    <row r="29" spans="1:9" ht="15.6" x14ac:dyDescent="0.3">
      <c r="A29" s="278" t="s">
        <v>182</v>
      </c>
      <c r="B29" s="380"/>
      <c r="C29" s="380"/>
      <c r="D29" s="380"/>
      <c r="E29" s="380"/>
      <c r="F29" s="380"/>
      <c r="G29" s="387"/>
      <c r="H29" s="387"/>
      <c r="I29" s="282"/>
    </row>
    <row r="30" spans="1:9" x14ac:dyDescent="0.3">
      <c r="A30" s="279" t="s">
        <v>183</v>
      </c>
      <c r="B30" s="381" t="s">
        <v>198</v>
      </c>
      <c r="C30" s="381"/>
      <c r="D30" s="381"/>
      <c r="E30" s="381"/>
      <c r="F30" s="381"/>
      <c r="G30" s="388"/>
      <c r="H30" s="388"/>
      <c r="I30" s="283"/>
    </row>
    <row r="31" spans="1:9" x14ac:dyDescent="0.3">
      <c r="A31" s="278" t="s">
        <v>184</v>
      </c>
      <c r="B31" s="381" t="s">
        <v>198</v>
      </c>
      <c r="C31" s="381"/>
      <c r="D31" s="381"/>
      <c r="E31" s="381"/>
      <c r="F31" s="381"/>
      <c r="G31" s="389" t="s">
        <v>199</v>
      </c>
      <c r="H31" s="389"/>
      <c r="I31" s="284">
        <v>5929</v>
      </c>
    </row>
    <row r="32" spans="1:9" ht="16.8" x14ac:dyDescent="0.3">
      <c r="A32" s="280"/>
      <c r="B32" s="381" t="s">
        <v>188</v>
      </c>
      <c r="C32" s="381"/>
      <c r="D32" s="381"/>
      <c r="E32" s="381"/>
      <c r="F32" s="381"/>
      <c r="G32" s="389" t="s">
        <v>199</v>
      </c>
      <c r="H32" s="389"/>
      <c r="I32" s="284">
        <v>5929</v>
      </c>
    </row>
    <row r="33" spans="1:9" ht="15" thickBot="1" x14ac:dyDescent="0.35">
      <c r="A33" s="278" t="s">
        <v>185</v>
      </c>
      <c r="B33" s="385"/>
      <c r="C33" s="385"/>
      <c r="D33" s="385"/>
      <c r="E33" s="385"/>
      <c r="F33" s="385"/>
      <c r="G33" s="390" t="s">
        <v>190</v>
      </c>
      <c r="H33" s="390"/>
      <c r="I33" s="285">
        <v>2836</v>
      </c>
    </row>
    <row r="34" spans="1:9" ht="15.6" thickTop="1" thickBot="1" x14ac:dyDescent="0.35">
      <c r="A34" s="281"/>
      <c r="B34" s="391" t="s">
        <v>200</v>
      </c>
      <c r="C34" s="391"/>
      <c r="D34" s="391"/>
      <c r="E34" s="391"/>
      <c r="F34" s="391"/>
      <c r="G34" s="392" t="s">
        <v>201</v>
      </c>
      <c r="H34" s="392"/>
      <c r="I34" s="286">
        <v>14694</v>
      </c>
    </row>
    <row r="35" spans="1:9" ht="15" thickBot="1" x14ac:dyDescent="0.35">
      <c r="A35" s="281"/>
      <c r="B35" s="375" t="s">
        <v>202</v>
      </c>
      <c r="C35" s="375"/>
      <c r="D35" s="375"/>
      <c r="E35" s="375"/>
      <c r="F35" s="375"/>
      <c r="G35" s="376" t="s">
        <v>203</v>
      </c>
      <c r="H35" s="376"/>
      <c r="I35" s="287">
        <v>15554</v>
      </c>
    </row>
    <row r="36" spans="1:9" ht="15.6" thickTop="1" thickBot="1" x14ac:dyDescent="0.35">
      <c r="A36" s="281"/>
      <c r="B36" s="377"/>
      <c r="C36" s="377"/>
      <c r="D36" s="377"/>
      <c r="E36" s="377"/>
      <c r="F36" s="377"/>
      <c r="G36" s="377"/>
      <c r="H36" s="377"/>
      <c r="I36" s="378"/>
    </row>
    <row r="37" spans="1:9" ht="15" thickTop="1" thickBot="1" x14ac:dyDescent="0.35">
      <c r="A37" s="382" t="s">
        <v>204</v>
      </c>
      <c r="B37" s="383"/>
      <c r="C37" s="383"/>
      <c r="D37" s="383"/>
      <c r="E37" s="383"/>
      <c r="F37" s="383"/>
      <c r="G37" s="384" t="s">
        <v>205</v>
      </c>
      <c r="H37" s="384"/>
      <c r="I37" s="288">
        <v>18390</v>
      </c>
    </row>
    <row r="38" spans="1:9" ht="20.399999999999999" customHeight="1" x14ac:dyDescent="0.3">
      <c r="A38" s="363" t="s">
        <v>206</v>
      </c>
      <c r="B38" s="364"/>
      <c r="C38" s="364"/>
      <c r="D38" s="364"/>
      <c r="E38" s="364"/>
      <c r="F38" s="364"/>
      <c r="G38" s="364"/>
      <c r="H38" s="364"/>
      <c r="I38" s="365"/>
    </row>
    <row r="39" spans="1:9" ht="14.4" thickBot="1" x14ac:dyDescent="0.35">
      <c r="A39" s="366" t="s">
        <v>207</v>
      </c>
      <c r="B39" s="367"/>
      <c r="C39" s="367"/>
      <c r="D39" s="367"/>
      <c r="E39" s="367"/>
      <c r="F39" s="367"/>
      <c r="G39" s="367"/>
      <c r="H39" s="367"/>
      <c r="I39" s="368"/>
    </row>
    <row r="40" spans="1:9" ht="14.4" thickBot="1" x14ac:dyDescent="0.35">
      <c r="A40" s="360" t="s">
        <v>208</v>
      </c>
      <c r="B40" s="361"/>
      <c r="C40" s="361"/>
      <c r="D40" s="361"/>
      <c r="E40" s="361"/>
      <c r="F40" s="361"/>
      <c r="G40" s="361"/>
      <c r="H40" s="361"/>
      <c r="I40" s="362"/>
    </row>
    <row r="41" spans="1:9" ht="14.4" thickBot="1" x14ac:dyDescent="0.35">
      <c r="A41" s="369"/>
      <c r="B41" s="370"/>
      <c r="C41" s="370"/>
      <c r="D41" s="370"/>
      <c r="E41" s="370"/>
      <c r="F41" s="370"/>
      <c r="G41" s="370"/>
      <c r="H41" s="370"/>
      <c r="I41" s="371"/>
    </row>
    <row r="42" spans="1:9" ht="20.399999999999999" customHeight="1" thickBot="1" x14ac:dyDescent="0.35">
      <c r="A42" s="372" t="s">
        <v>209</v>
      </c>
      <c r="B42" s="373"/>
      <c r="C42" s="373"/>
      <c r="D42" s="373"/>
      <c r="E42" s="373"/>
      <c r="F42" s="373"/>
      <c r="G42" s="373"/>
      <c r="H42" s="373"/>
      <c r="I42" s="374"/>
    </row>
    <row r="43" spans="1:9" ht="14.4" thickBot="1" x14ac:dyDescent="0.35">
      <c r="A43" s="254"/>
      <c r="B43" s="255"/>
      <c r="C43" s="255"/>
      <c r="D43" s="255"/>
      <c r="E43" s="255"/>
      <c r="F43" s="369"/>
      <c r="G43" s="371"/>
      <c r="H43" s="369"/>
      <c r="I43" s="371"/>
    </row>
    <row r="44" spans="1:9" ht="30.6" customHeight="1" thickBot="1" x14ac:dyDescent="0.35">
      <c r="A44" s="372" t="s">
        <v>210</v>
      </c>
      <c r="B44" s="373"/>
      <c r="C44" s="373"/>
      <c r="D44" s="373"/>
      <c r="E44" s="373"/>
      <c r="F44" s="373"/>
      <c r="G44" s="373"/>
      <c r="H44" s="373"/>
      <c r="I44" s="374"/>
    </row>
    <row r="45" spans="1:9" ht="14.4" thickBot="1" x14ac:dyDescent="0.35">
      <c r="A45" s="254"/>
      <c r="B45" s="255"/>
      <c r="C45" s="255"/>
      <c r="D45" s="255"/>
      <c r="E45" s="255"/>
      <c r="F45" s="369"/>
      <c r="G45" s="371"/>
      <c r="H45" s="369"/>
      <c r="I45" s="371"/>
    </row>
    <row r="46" spans="1:9" ht="20.399999999999999" customHeight="1" thickBot="1" x14ac:dyDescent="0.35">
      <c r="A46" s="360" t="s">
        <v>211</v>
      </c>
      <c r="B46" s="361"/>
      <c r="C46" s="361"/>
      <c r="D46" s="361"/>
      <c r="E46" s="361"/>
      <c r="F46" s="361"/>
      <c r="G46" s="361"/>
      <c r="H46" s="361"/>
      <c r="I46" s="362"/>
    </row>
  </sheetData>
  <mergeCells count="70">
    <mergeCell ref="F10:G10"/>
    <mergeCell ref="H10:I10"/>
    <mergeCell ref="A6:I6"/>
    <mergeCell ref="A7:I7"/>
    <mergeCell ref="A8:I8"/>
    <mergeCell ref="F9:G9"/>
    <mergeCell ref="H9:I9"/>
    <mergeCell ref="F11:G11"/>
    <mergeCell ref="H11:I11"/>
    <mergeCell ref="F12:G12"/>
    <mergeCell ref="H12:I12"/>
    <mergeCell ref="F13:G13"/>
    <mergeCell ref="H13:I13"/>
    <mergeCell ref="B18:F18"/>
    <mergeCell ref="B19:F19"/>
    <mergeCell ref="B20:F20"/>
    <mergeCell ref="B21:F21"/>
    <mergeCell ref="F14:G14"/>
    <mergeCell ref="F15:G15"/>
    <mergeCell ref="F16:G16"/>
    <mergeCell ref="G18:H18"/>
    <mergeCell ref="G19:H19"/>
    <mergeCell ref="G20:H20"/>
    <mergeCell ref="G21:H21"/>
    <mergeCell ref="G17:H17"/>
    <mergeCell ref="B17:F17"/>
    <mergeCell ref="H14:I14"/>
    <mergeCell ref="H15:I15"/>
    <mergeCell ref="H16:I16"/>
    <mergeCell ref="B24:F24"/>
    <mergeCell ref="G24:H24"/>
    <mergeCell ref="B23:F23"/>
    <mergeCell ref="G23:H23"/>
    <mergeCell ref="G22:H22"/>
    <mergeCell ref="B22:F22"/>
    <mergeCell ref="B25:I25"/>
    <mergeCell ref="F27:G27"/>
    <mergeCell ref="H27:I27"/>
    <mergeCell ref="A26:F26"/>
    <mergeCell ref="G26:H26"/>
    <mergeCell ref="B28:F28"/>
    <mergeCell ref="B29:F29"/>
    <mergeCell ref="B30:F30"/>
    <mergeCell ref="A37:F37"/>
    <mergeCell ref="G37:H37"/>
    <mergeCell ref="B32:F32"/>
    <mergeCell ref="B33:F33"/>
    <mergeCell ref="G28:H28"/>
    <mergeCell ref="G29:H29"/>
    <mergeCell ref="G30:H30"/>
    <mergeCell ref="G31:H31"/>
    <mergeCell ref="G32:H32"/>
    <mergeCell ref="G33:H33"/>
    <mergeCell ref="B31:F31"/>
    <mergeCell ref="B34:F34"/>
    <mergeCell ref="G34:H34"/>
    <mergeCell ref="B35:F35"/>
    <mergeCell ref="G35:H35"/>
    <mergeCell ref="B36:I36"/>
    <mergeCell ref="A44:I44"/>
    <mergeCell ref="F45:G45"/>
    <mergeCell ref="H45:I45"/>
    <mergeCell ref="A46:I46"/>
    <mergeCell ref="A38:I38"/>
    <mergeCell ref="A39:I39"/>
    <mergeCell ref="A40:I40"/>
    <mergeCell ref="A41:I41"/>
    <mergeCell ref="A42:I42"/>
    <mergeCell ref="F43:G43"/>
    <mergeCell ref="H43:I43"/>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A30B9BD66BBA4BA99253519E542C7E" ma:contentTypeVersion="13" ma:contentTypeDescription="Create a new document." ma:contentTypeScope="" ma:versionID="6eb9afe1218d8de556082c107a81801d">
  <xsd:schema xmlns:xsd="http://www.w3.org/2001/XMLSchema" xmlns:xs="http://www.w3.org/2001/XMLSchema" xmlns:p="http://schemas.microsoft.com/office/2006/metadata/properties" xmlns:ns2="c8fe3d3c-c3ef-4c56-af57-51fc8992ba2f" xmlns:ns3="ba6a4765-3d80-4566-a995-517029b3de54" targetNamespace="http://schemas.microsoft.com/office/2006/metadata/properties" ma:root="true" ma:fieldsID="a5104ee11d6f4132bb3ab7e1767e7ac0" ns2:_="" ns3:_="">
    <xsd:import namespace="c8fe3d3c-c3ef-4c56-af57-51fc8992ba2f"/>
    <xsd:import namespace="ba6a4765-3d80-4566-a995-517029b3de5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e3d3c-c3ef-4c56-af57-51fc8992ba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6a4765-3d80-4566-a995-517029b3de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035BE-39FB-484B-BB86-9211F637B120}"/>
</file>

<file path=customXml/itemProps2.xml><?xml version="1.0" encoding="utf-8"?>
<ds:datastoreItem xmlns:ds="http://schemas.openxmlformats.org/officeDocument/2006/customXml" ds:itemID="{35173C99-EAB5-4C0D-A949-D2A74275763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6E88D62-BCCC-4453-9BD4-706D960812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MSUE Budget </vt:lpstr>
      <vt:lpstr>Subaward F&amp;A Calculator</vt:lpstr>
      <vt:lpstr>MSUE Subaward F&amp;A Calculator</vt:lpstr>
      <vt:lpstr>Materials_Supplies</vt:lpstr>
      <vt:lpstr>Travel</vt:lpstr>
      <vt:lpstr>F&amp;A Calculator Instructions</vt:lpstr>
      <vt:lpstr>Fringe Calcuations</vt:lpstr>
      <vt:lpstr>Grad Assistant Fringe Chart</vt:lpstr>
      <vt:lpstr>'F&amp;A Calculator Instructions'!Print_Area</vt:lpstr>
      <vt:lpstr>'Subaward F&amp;A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ONeill</dc:creator>
  <cp:lastModifiedBy>Mahoney, Mary</cp:lastModifiedBy>
  <cp:lastPrinted>2020-04-20T19:54:31Z</cp:lastPrinted>
  <dcterms:created xsi:type="dcterms:W3CDTF">2019-03-21T12:09:06Z</dcterms:created>
  <dcterms:modified xsi:type="dcterms:W3CDTF">2021-05-25T15:00:36Z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0x01010067A30B9BD66BBA4BA99253519E542C7E</vt:lpwstr>
  </property>
</Properties>
</file>